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СВОД -уголь на 300млн" sheetId="7" r:id="rId1"/>
  </sheets>
  <definedNames>
    <definedName name="_xlnm.Print_Area" localSheetId="0">'СВОД -уголь на 300млн'!$A$1:$H$112</definedName>
  </definedNames>
  <calcPr calcId="144525"/>
</workbook>
</file>

<file path=xl/sharedStrings.xml><?xml version="1.0" encoding="utf-8"?>
<sst xmlns="http://schemas.openxmlformats.org/spreadsheetml/2006/main" count="140" uniqueCount="37">
  <si>
    <t xml:space="preserve">Расчет субсидии телоснабжающим организациям на компенсацию затрат, связанных с приобретением угля на 2022 год </t>
  </si>
  <si>
    <t>КГУП "Примтеплоэнерго"</t>
  </si>
  <si>
    <t>Период</t>
  </si>
  <si>
    <t>Кол-во, тонны</t>
  </si>
  <si>
    <t>Стоимость, руб.  (без НДС)</t>
  </si>
  <si>
    <t>Цена приобретения 1 тонны, руб. (без НДС)</t>
  </si>
  <si>
    <t>Цена 1 тонны, руб. (без НДС),  утв. в тарифе</t>
  </si>
  <si>
    <t>Убытки, руб.</t>
  </si>
  <si>
    <t xml:space="preserve">Убытки, руб. </t>
  </si>
  <si>
    <t>За декабрь 2020</t>
  </si>
  <si>
    <t xml:space="preserve">Январь </t>
  </si>
  <si>
    <t>КГУП ПТЭ</t>
  </si>
  <si>
    <t>Арсеньев ГО</t>
  </si>
  <si>
    <t xml:space="preserve">Большой Камень </t>
  </si>
  <si>
    <t>итого</t>
  </si>
  <si>
    <t xml:space="preserve">Февраль </t>
  </si>
  <si>
    <t xml:space="preserve">Март </t>
  </si>
  <si>
    <t xml:space="preserve">Апрель </t>
  </si>
  <si>
    <t>Май план</t>
  </si>
  <si>
    <t>Июнь план</t>
  </si>
  <si>
    <t>ИТОГО 1-е ПОЛУГОДИЕ</t>
  </si>
  <si>
    <t>Июль план</t>
  </si>
  <si>
    <t>Август план</t>
  </si>
  <si>
    <t>Сентябрь план</t>
  </si>
  <si>
    <t>Октябрь план</t>
  </si>
  <si>
    <t>Ноябрь план</t>
  </si>
  <si>
    <t>Декабрь план</t>
  </si>
  <si>
    <t>ИТОГО 2-е ПОЛУГОДИЕ</t>
  </si>
  <si>
    <t>ВСЕГО</t>
  </si>
  <si>
    <t>ЗАТО г. Фокино, ООО "ИКС Фокино"</t>
  </si>
  <si>
    <t>марка ДКО</t>
  </si>
  <si>
    <t>Партизанский муниципальный район, ООО "МиК Восток"</t>
  </si>
  <si>
    <t>марка Д</t>
  </si>
  <si>
    <t>марка 3БОМ</t>
  </si>
  <si>
    <t>ИТОГО на 2022 год:</t>
  </si>
  <si>
    <t>И.о. министра жилищно-коммунального хозяйства Приморского края</t>
  </si>
  <si>
    <t>С.М. Попов</t>
  </si>
</sst>
</file>

<file path=xl/styles.xml><?xml version="1.0" encoding="utf-8"?>
<styleSheet xmlns="http://schemas.openxmlformats.org/spreadsheetml/2006/main">
  <numFmts count="6">
    <numFmt numFmtId="176" formatCode="#,##0.00_ "/>
    <numFmt numFmtId="177" formatCode="_-* #,##0.00\ &quot;₽&quot;_-;\-* #,##0.00\ &quot;₽&quot;_-;_-* &quot;-&quot;??\ &quot;₽&quot;_-;_-@_-"/>
    <numFmt numFmtId="178" formatCode="_-* #,##0.00_р_._-;\-* #,##0.00_р_._-;_-* &quot;-&quot;??_р_._-;_-@_-"/>
    <numFmt numFmtId="41" formatCode="_-* #,##0_-;\-* #,##0_-;_-* &quot;-&quot;_-;_-@_-"/>
    <numFmt numFmtId="179" formatCode="_-* #,##0\ &quot;₽&quot;_-;\-* #,##0\ &quot;₽&quot;_-;_-* \-\ &quot;₽&quot;_-;_-@_-"/>
    <numFmt numFmtId="180" formatCode="#,##0.000"/>
  </numFmts>
  <fonts count="36">
    <font>
      <sz val="10"/>
      <name val="Arial Cyr"/>
      <charset val="204"/>
    </font>
    <font>
      <b/>
      <sz val="10"/>
      <name val="Arial Cyr"/>
      <charset val="204"/>
    </font>
    <font>
      <sz val="13"/>
      <name val="Times New Roman"/>
      <charset val="204"/>
    </font>
    <font>
      <b/>
      <sz val="13"/>
      <name val="Times New Roman"/>
      <charset val="204"/>
    </font>
    <font>
      <b/>
      <sz val="16"/>
      <name val="PT Astra Serif"/>
      <charset val="204"/>
    </font>
    <font>
      <b/>
      <sz val="14"/>
      <color rgb="FFFF0000"/>
      <name val="PT Astra Serif"/>
      <charset val="204"/>
    </font>
    <font>
      <b/>
      <sz val="13"/>
      <name val="PT Astra Serif"/>
      <charset val="204"/>
    </font>
    <font>
      <sz val="13"/>
      <name val="PT Astra Serif"/>
      <charset val="204"/>
    </font>
    <font>
      <sz val="16"/>
      <name val="PT Astra Serif"/>
      <charset val="204"/>
    </font>
    <font>
      <b/>
      <sz val="13"/>
      <color rgb="FFFF0000"/>
      <name val="PT Astra Serif"/>
      <charset val="204"/>
    </font>
    <font>
      <sz val="13"/>
      <color rgb="FFFF0000"/>
      <name val="PT Astra Serif"/>
      <charset val="204"/>
    </font>
    <font>
      <sz val="11"/>
      <name val="PT Astra Serif"/>
      <charset val="204"/>
    </font>
    <font>
      <b/>
      <sz val="14"/>
      <name val="PT Astra Serif"/>
      <charset val="204"/>
    </font>
    <font>
      <sz val="10"/>
      <name val="PT Astra Serif"/>
      <charset val="204"/>
    </font>
    <font>
      <b/>
      <sz val="16"/>
      <color rgb="FFFF0000"/>
      <name val="PT Astra Serif"/>
      <charset val="204"/>
    </font>
    <font>
      <b/>
      <sz val="12"/>
      <name val="Arial Cyr"/>
      <charset val="204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/>
    <xf numFmtId="0" fontId="24" fillId="28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0" borderId="51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35" fillId="0" borderId="51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0" fontId="19" fillId="29" borderId="0" applyNumberFormat="0" applyBorder="0" applyAlignment="0" applyProtection="0">
      <alignment vertical="center"/>
    </xf>
    <xf numFmtId="0" fontId="33" fillId="34" borderId="55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9" fillId="25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54" applyNumberFormat="0" applyFill="0" applyAlignment="0" applyProtection="0">
      <alignment vertical="center"/>
    </xf>
    <xf numFmtId="0" fontId="27" fillId="17" borderId="53" applyNumberFormat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52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0" fillId="10" borderId="55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17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0" borderId="5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1" borderId="49" applyNumberFormat="0" applyFon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32" fillId="3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6" fillId="10" borderId="48" applyNumberFormat="0" applyAlignment="0" applyProtection="0">
      <alignment vertical="center"/>
    </xf>
  </cellStyleXfs>
  <cellXfs count="123">
    <xf numFmtId="0" fontId="0" fillId="0" borderId="0" xfId="0"/>
    <xf numFmtId="0" fontId="1" fillId="0" borderId="0" xfId="0" applyFont="1"/>
    <xf numFmtId="0" fontId="0" fillId="0" borderId="0" xfId="0" applyFont="1"/>
    <xf numFmtId="180" fontId="0" fillId="0" borderId="0" xfId="0" applyNumberFormat="1"/>
    <xf numFmtId="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left" vertical="center"/>
    </xf>
    <xf numFmtId="4" fontId="6" fillId="0" borderId="0" xfId="0" applyNumberFormat="1" applyFont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4" fontId="6" fillId="3" borderId="5" xfId="0" applyNumberFormat="1" applyFont="1" applyFill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center" vertical="center"/>
    </xf>
    <xf numFmtId="4" fontId="7" fillId="0" borderId="8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center" vertical="center" wrapText="1"/>
    </xf>
    <xf numFmtId="4" fontId="7" fillId="0" borderId="11" xfId="0" applyNumberFormat="1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 vertical="center" wrapText="1"/>
    </xf>
    <xf numFmtId="4" fontId="7" fillId="0" borderId="12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 wrapText="1"/>
    </xf>
    <xf numFmtId="4" fontId="6" fillId="0" borderId="15" xfId="0" applyNumberFormat="1" applyFont="1" applyBorder="1" applyAlignment="1">
      <alignment horizontal="center" vertical="center" wrapText="1"/>
    </xf>
    <xf numFmtId="4" fontId="6" fillId="0" borderId="16" xfId="0" applyNumberFormat="1" applyFont="1" applyBorder="1" applyAlignment="1">
      <alignment horizontal="center" vertical="center"/>
    </xf>
    <xf numFmtId="4" fontId="6" fillId="4" borderId="17" xfId="0" applyNumberFormat="1" applyFont="1" applyFill="1" applyBorder="1" applyAlignment="1">
      <alignment horizontal="center" vertical="center" wrapText="1"/>
    </xf>
    <xf numFmtId="4" fontId="6" fillId="4" borderId="18" xfId="0" applyNumberFormat="1" applyFont="1" applyFill="1" applyBorder="1" applyAlignment="1">
      <alignment horizontal="center" vertical="center" wrapText="1"/>
    </xf>
    <xf numFmtId="4" fontId="6" fillId="4" borderId="19" xfId="0" applyNumberFormat="1" applyFont="1" applyFill="1" applyBorder="1" applyAlignment="1">
      <alignment horizontal="center" vertical="center" wrapText="1"/>
    </xf>
    <xf numFmtId="4" fontId="6" fillId="4" borderId="2" xfId="0" applyNumberFormat="1" applyFont="1" applyFill="1" applyBorder="1" applyAlignment="1">
      <alignment horizontal="center" vertical="center" wrapText="1"/>
    </xf>
    <xf numFmtId="4" fontId="6" fillId="4" borderId="3" xfId="0" applyNumberFormat="1" applyFont="1" applyFill="1" applyBorder="1" applyAlignment="1">
      <alignment horizontal="center" vertical="center"/>
    </xf>
    <xf numFmtId="4" fontId="6" fillId="0" borderId="20" xfId="0" applyNumberFormat="1" applyFont="1" applyBorder="1" applyAlignment="1">
      <alignment horizontal="center" vertical="center" wrapText="1"/>
    </xf>
    <xf numFmtId="4" fontId="7" fillId="0" borderId="21" xfId="0" applyNumberFormat="1" applyFont="1" applyBorder="1" applyAlignment="1">
      <alignment horizontal="center" vertical="center" wrapText="1"/>
    </xf>
    <xf numFmtId="4" fontId="7" fillId="0" borderId="22" xfId="0" applyNumberFormat="1" applyFont="1" applyBorder="1" applyAlignment="1">
      <alignment horizontal="center" vertical="center"/>
    </xf>
    <xf numFmtId="4" fontId="7" fillId="0" borderId="22" xfId="0" applyNumberFormat="1" applyFont="1" applyBorder="1" applyAlignment="1">
      <alignment horizontal="center" vertical="center" wrapText="1"/>
    </xf>
    <xf numFmtId="4" fontId="6" fillId="0" borderId="23" xfId="0" applyNumberFormat="1" applyFont="1" applyBorder="1" applyAlignment="1">
      <alignment horizontal="center" vertical="center" wrapText="1"/>
    </xf>
    <xf numFmtId="4" fontId="6" fillId="0" borderId="24" xfId="0" applyNumberFormat="1" applyFont="1" applyBorder="1" applyAlignment="1">
      <alignment horizontal="center" vertical="center"/>
    </xf>
    <xf numFmtId="4" fontId="4" fillId="5" borderId="21" xfId="15" applyNumberFormat="1" applyFont="1" applyFill="1" applyBorder="1" applyAlignment="1">
      <alignment horizontal="center" vertical="center"/>
    </xf>
    <xf numFmtId="4" fontId="8" fillId="0" borderId="22" xfId="0" applyNumberFormat="1" applyFont="1" applyBorder="1" applyAlignment="1">
      <alignment horizontal="center" vertical="center" wrapText="1"/>
    </xf>
    <xf numFmtId="4" fontId="8" fillId="0" borderId="22" xfId="0" applyNumberFormat="1" applyFont="1" applyBorder="1" applyAlignment="1">
      <alignment horizontal="center" vertical="center"/>
    </xf>
    <xf numFmtId="4" fontId="4" fillId="5" borderId="10" xfId="15" applyNumberFormat="1" applyFont="1" applyFill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" fontId="6" fillId="6" borderId="3" xfId="22" applyNumberFormat="1" applyFont="1" applyFill="1" applyBorder="1" applyAlignment="1">
      <alignment horizontal="center" vertical="center" wrapText="1"/>
    </xf>
    <xf numFmtId="4" fontId="6" fillId="6" borderId="3" xfId="0" applyNumberFormat="1" applyFont="1" applyFill="1" applyBorder="1" applyAlignment="1">
      <alignment horizontal="center" vertical="center" wrapText="1"/>
    </xf>
    <xf numFmtId="4" fontId="6" fillId="6" borderId="25" xfId="0" applyNumberFormat="1" applyFont="1" applyFill="1" applyBorder="1" applyAlignment="1">
      <alignment horizontal="center" vertical="center" wrapText="1"/>
    </xf>
    <xf numFmtId="4" fontId="6" fillId="3" borderId="5" xfId="0" applyNumberFormat="1" applyFont="1" applyFill="1" applyBorder="1" applyAlignment="1">
      <alignment horizontal="center" vertical="center"/>
    </xf>
    <xf numFmtId="4" fontId="7" fillId="0" borderId="26" xfId="0" applyNumberFormat="1" applyFont="1" applyBorder="1" applyAlignment="1">
      <alignment horizontal="center" vertical="center"/>
    </xf>
    <xf numFmtId="4" fontId="7" fillId="0" borderId="27" xfId="0" applyNumberFormat="1" applyFont="1" applyBorder="1" applyAlignment="1">
      <alignment horizontal="center" vertical="center"/>
    </xf>
    <xf numFmtId="4" fontId="7" fillId="0" borderId="28" xfId="0" applyNumberFormat="1" applyFont="1" applyBorder="1" applyAlignment="1">
      <alignment horizontal="center" vertical="center"/>
    </xf>
    <xf numFmtId="4" fontId="7" fillId="0" borderId="29" xfId="0" applyNumberFormat="1" applyFont="1" applyBorder="1" applyAlignment="1">
      <alignment horizontal="center" vertical="center"/>
    </xf>
    <xf numFmtId="4" fontId="6" fillId="0" borderId="25" xfId="0" applyNumberFormat="1" applyFont="1" applyBorder="1" applyAlignment="1">
      <alignment horizontal="center" vertical="center"/>
    </xf>
    <xf numFmtId="4" fontId="10" fillId="7" borderId="27" xfId="0" applyNumberFormat="1" applyFont="1" applyFill="1" applyBorder="1" applyAlignment="1">
      <alignment horizontal="center" vertical="center"/>
    </xf>
    <xf numFmtId="4" fontId="6" fillId="0" borderId="30" xfId="0" applyNumberFormat="1" applyFont="1" applyBorder="1" applyAlignment="1">
      <alignment horizontal="center" vertical="center"/>
    </xf>
    <xf numFmtId="4" fontId="6" fillId="4" borderId="25" xfId="0" applyNumberFormat="1" applyFont="1" applyFill="1" applyBorder="1" applyAlignment="1">
      <alignment horizontal="center" vertical="center"/>
    </xf>
    <xf numFmtId="4" fontId="7" fillId="0" borderId="31" xfId="0" applyNumberFormat="1" applyFont="1" applyBorder="1" applyAlignment="1">
      <alignment horizontal="center" vertical="center"/>
    </xf>
    <xf numFmtId="4" fontId="6" fillId="0" borderId="32" xfId="0" applyNumberFormat="1" applyFont="1" applyBorder="1" applyAlignment="1">
      <alignment horizontal="center" vertical="center"/>
    </xf>
    <xf numFmtId="4" fontId="7" fillId="0" borderId="16" xfId="0" applyNumberFormat="1" applyFont="1" applyBorder="1" applyAlignment="1">
      <alignment horizontal="center" vertical="center" wrapText="1"/>
    </xf>
    <xf numFmtId="4" fontId="7" fillId="0" borderId="33" xfId="0" applyNumberFormat="1" applyFont="1" applyBorder="1" applyAlignment="1">
      <alignment horizontal="center" vertical="center"/>
    </xf>
    <xf numFmtId="4" fontId="7" fillId="0" borderId="34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36" xfId="0" applyNumberFormat="1" applyFont="1" applyBorder="1" applyAlignment="1">
      <alignment horizontal="center" vertical="center"/>
    </xf>
    <xf numFmtId="4" fontId="8" fillId="0" borderId="31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4" fillId="5" borderId="13" xfId="15" applyNumberFormat="1" applyFont="1" applyFill="1" applyBorder="1" applyAlignment="1">
      <alignment horizontal="center" vertical="center"/>
    </xf>
    <xf numFmtId="4" fontId="4" fillId="8" borderId="2" xfId="0" applyNumberFormat="1" applyFont="1" applyFill="1" applyBorder="1" applyAlignment="1">
      <alignment horizontal="center" vertical="center" wrapText="1"/>
    </xf>
    <xf numFmtId="4" fontId="4" fillId="8" borderId="3" xfId="0" applyNumberFormat="1" applyFont="1" applyFill="1" applyBorder="1" applyAlignment="1">
      <alignment horizontal="center" vertical="center"/>
    </xf>
    <xf numFmtId="4" fontId="4" fillId="0" borderId="0" xfId="15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 wrapText="1"/>
    </xf>
    <xf numFmtId="4" fontId="4" fillId="0" borderId="37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4" fontId="11" fillId="0" borderId="0" xfId="0" applyNumberFormat="1" applyFont="1" applyFill="1" applyAlignment="1">
      <alignment horizontal="center" vertical="center"/>
    </xf>
    <xf numFmtId="4" fontId="6" fillId="0" borderId="38" xfId="0" applyNumberFormat="1" applyFont="1" applyBorder="1" applyAlignment="1">
      <alignment horizontal="center" vertical="center" wrapText="1"/>
    </xf>
    <xf numFmtId="4" fontId="6" fillId="0" borderId="39" xfId="0" applyNumberFormat="1" applyFont="1" applyBorder="1" applyAlignment="1">
      <alignment horizontal="center" vertical="center"/>
    </xf>
    <xf numFmtId="4" fontId="4" fillId="5" borderId="6" xfId="15" applyNumberFormat="1" applyFont="1" applyFill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/>
    </xf>
    <xf numFmtId="4" fontId="4" fillId="0" borderId="0" xfId="15" applyNumberFormat="1" applyFont="1" applyFill="1" applyBorder="1" applyAlignment="1">
      <alignment horizontal="center" vertical="center"/>
    </xf>
    <xf numFmtId="4" fontId="4" fillId="0" borderId="40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4" fontId="6" fillId="0" borderId="18" xfId="0" applyNumberFormat="1" applyFont="1" applyBorder="1" applyAlignment="1">
      <alignment horizontal="center" vertical="center" wrapText="1"/>
    </xf>
    <xf numFmtId="4" fontId="4" fillId="5" borderId="20" xfId="15" applyNumberFormat="1" applyFont="1" applyFill="1" applyBorder="1" applyAlignment="1">
      <alignment horizontal="center" vertical="center"/>
    </xf>
    <xf numFmtId="4" fontId="8" fillId="0" borderId="38" xfId="0" applyNumberFormat="1" applyFont="1" applyBorder="1" applyAlignment="1">
      <alignment horizontal="center" vertical="center" wrapText="1"/>
    </xf>
    <xf numFmtId="4" fontId="8" fillId="0" borderId="39" xfId="0" applyNumberFormat="1" applyFont="1" applyBorder="1" applyAlignment="1">
      <alignment horizontal="center" vertical="center"/>
    </xf>
    <xf numFmtId="4" fontId="4" fillId="0" borderId="0" xfId="15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 wrapText="1"/>
    </xf>
    <xf numFmtId="4" fontId="12" fillId="9" borderId="41" xfId="0" applyNumberFormat="1" applyFont="1" applyFill="1" applyBorder="1" applyAlignment="1">
      <alignment horizontal="center" vertical="center"/>
    </xf>
    <xf numFmtId="4" fontId="13" fillId="9" borderId="42" xfId="0" applyNumberFormat="1" applyFont="1" applyFill="1" applyBorder="1" applyAlignment="1">
      <alignment horizontal="center" vertical="center"/>
    </xf>
    <xf numFmtId="176" fontId="4" fillId="9" borderId="43" xfId="0" applyNumberFormat="1" applyFont="1" applyFill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4" fontId="14" fillId="8" borderId="3" xfId="0" applyNumberFormat="1" applyFont="1" applyFill="1" applyBorder="1" applyAlignment="1">
      <alignment horizontal="center" vertical="center"/>
    </xf>
    <xf numFmtId="4" fontId="4" fillId="8" borderId="25" xfId="0" applyNumberFormat="1" applyFont="1" applyFill="1" applyBorder="1" applyAlignment="1">
      <alignment horizontal="center" vertical="center"/>
    </xf>
    <xf numFmtId="4" fontId="14" fillId="0" borderId="0" xfId="0" applyNumberFormat="1" applyFont="1" applyFill="1" applyBorder="1" applyAlignment="1">
      <alignment horizontal="center" vertical="center"/>
    </xf>
    <xf numFmtId="4" fontId="4" fillId="8" borderId="0" xfId="0" applyNumberFormat="1" applyFont="1" applyFill="1" applyAlignment="1">
      <alignment horizontal="center" vertical="center"/>
    </xf>
    <xf numFmtId="4" fontId="13" fillId="0" borderId="0" xfId="0" applyNumberFormat="1" applyFont="1" applyFill="1" applyAlignment="1">
      <alignment horizontal="center" vertical="center"/>
    </xf>
    <xf numFmtId="4" fontId="6" fillId="0" borderId="44" xfId="0" applyNumberFormat="1" applyFont="1" applyBorder="1" applyAlignment="1">
      <alignment horizontal="center" vertical="center"/>
    </xf>
    <xf numFmtId="4" fontId="8" fillId="0" borderId="27" xfId="0" applyNumberFormat="1" applyFont="1" applyBorder="1" applyAlignment="1">
      <alignment horizontal="center" vertical="center"/>
    </xf>
    <xf numFmtId="4" fontId="14" fillId="8" borderId="25" xfId="0" applyNumberFormat="1" applyFont="1" applyFill="1" applyBorder="1" applyAlignment="1">
      <alignment horizontal="center" vertical="center"/>
    </xf>
    <xf numFmtId="4" fontId="14" fillId="0" borderId="0" xfId="0" applyNumberFormat="1" applyFont="1" applyFill="1" applyAlignment="1">
      <alignment horizontal="center" vertical="center"/>
    </xf>
    <xf numFmtId="4" fontId="7" fillId="0" borderId="27" xfId="0" applyNumberFormat="1" applyFont="1" applyBorder="1" applyAlignment="1">
      <alignment horizontal="center" vertical="center" wrapText="1"/>
    </xf>
    <xf numFmtId="4" fontId="7" fillId="0" borderId="45" xfId="0" applyNumberFormat="1" applyFont="1" applyBorder="1" applyAlignment="1">
      <alignment horizontal="center" vertical="center"/>
    </xf>
    <xf numFmtId="4" fontId="7" fillId="0" borderId="31" xfId="0" applyNumberFormat="1" applyFont="1" applyBorder="1" applyAlignment="1">
      <alignment horizontal="center" vertical="center" wrapText="1"/>
    </xf>
    <xf numFmtId="4" fontId="7" fillId="0" borderId="46" xfId="0" applyNumberFormat="1" applyFont="1" applyBorder="1" applyAlignment="1">
      <alignment horizontal="center" vertical="center"/>
    </xf>
    <xf numFmtId="4" fontId="6" fillId="0" borderId="47" xfId="0" applyNumberFormat="1" applyFont="1" applyBorder="1" applyAlignment="1">
      <alignment horizontal="center" vertical="center"/>
    </xf>
    <xf numFmtId="4" fontId="7" fillId="0" borderId="30" xfId="0" applyNumberFormat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/>
    </xf>
    <xf numFmtId="4" fontId="8" fillId="0" borderId="44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center" vertical="center"/>
    </xf>
    <xf numFmtId="4" fontId="15" fillId="0" borderId="0" xfId="0" applyNumberFormat="1" applyFont="1" applyAlignment="1">
      <alignment horizontal="left"/>
    </xf>
  </cellXfs>
  <cellStyles count="50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Обычный 2" xfId="46"/>
    <cellStyle name="Хороший" xfId="47" builtinId="26"/>
    <cellStyle name="40% — Акцент4" xfId="48" builtinId="43"/>
    <cellStyle name="Вывод" xfId="49" builtinId="2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I112"/>
  <sheetViews>
    <sheetView tabSelected="1" zoomScale="70" zoomScaleNormal="70" workbookViewId="0">
      <selection activeCell="A1" sqref="A1:H112"/>
    </sheetView>
  </sheetViews>
  <sheetFormatPr defaultColWidth="27" defaultRowHeight="16.5"/>
  <cols>
    <col min="1" max="1" width="30.4285714285714" style="4" customWidth="1"/>
    <col min="2" max="2" width="32.2857142857143" style="4" customWidth="1"/>
    <col min="3" max="3" width="25.7142857142857" style="4" customWidth="1"/>
    <col min="4" max="4" width="33" style="4" customWidth="1"/>
    <col min="5" max="5" width="28.7142857142857" style="4" customWidth="1"/>
    <col min="6" max="6" width="32.2857142857143" style="4" customWidth="1"/>
    <col min="7" max="7" width="33.3333333333333" style="4" customWidth="1"/>
    <col min="8" max="8" width="34.7142857142857" style="5" hidden="1" customWidth="1"/>
    <col min="9" max="16380" width="27" customWidth="1"/>
  </cols>
  <sheetData>
    <row r="1" spans="1:7">
      <c r="A1" s="6"/>
      <c r="B1" s="6"/>
      <c r="C1" s="6"/>
      <c r="D1" s="6"/>
      <c r="E1" s="6"/>
      <c r="F1" s="6"/>
      <c r="G1" s="6"/>
    </row>
    <row r="2" ht="50.1" customHeight="1" spans="1:8">
      <c r="A2" s="7" t="s">
        <v>0</v>
      </c>
      <c r="B2" s="7"/>
      <c r="C2" s="7"/>
      <c r="D2" s="7"/>
      <c r="E2" s="7"/>
      <c r="F2" s="7"/>
      <c r="G2" s="7"/>
      <c r="H2" s="7"/>
    </row>
    <row r="3" ht="18.75" spans="1:8">
      <c r="A3" s="8" t="s">
        <v>1</v>
      </c>
      <c r="B3" s="8"/>
      <c r="C3" s="8"/>
      <c r="D3" s="9"/>
      <c r="E3" s="47"/>
      <c r="F3" s="47"/>
      <c r="G3" s="48"/>
      <c r="H3" s="49"/>
    </row>
    <row r="4" ht="55" customHeight="1" spans="1:8">
      <c r="A4" s="10" t="s">
        <v>2</v>
      </c>
      <c r="B4" s="11"/>
      <c r="C4" s="11" t="s">
        <v>3</v>
      </c>
      <c r="D4" s="11" t="s">
        <v>4</v>
      </c>
      <c r="E4" s="11" t="s">
        <v>5</v>
      </c>
      <c r="F4" s="50" t="s">
        <v>6</v>
      </c>
      <c r="G4" s="51" t="s">
        <v>7</v>
      </c>
      <c r="H4" s="52" t="s">
        <v>8</v>
      </c>
    </row>
    <row r="5" ht="27.75" hidden="1" customHeight="1" spans="1:8">
      <c r="A5" s="12" t="s">
        <v>9</v>
      </c>
      <c r="B5" s="13"/>
      <c r="C5" s="13"/>
      <c r="D5" s="13"/>
      <c r="E5" s="13" t="e">
        <f t="shared" ref="E5:E8" si="0">D5/C5</f>
        <v>#DIV/0!</v>
      </c>
      <c r="F5" s="53"/>
      <c r="G5" s="13" t="e">
        <f t="shared" ref="G5:G8" si="1">C5*(E5-F5)</f>
        <v>#DIV/0!</v>
      </c>
      <c r="H5" s="54"/>
    </row>
    <row r="6" ht="18.95" customHeight="1" spans="1:8">
      <c r="A6" s="14" t="s">
        <v>10</v>
      </c>
      <c r="B6" s="15" t="s">
        <v>11</v>
      </c>
      <c r="C6" s="16">
        <v>120540.93</v>
      </c>
      <c r="D6" s="17">
        <v>399284501.65</v>
      </c>
      <c r="E6" s="17">
        <f t="shared" si="0"/>
        <v>3312.43919928277</v>
      </c>
      <c r="F6" s="16">
        <v>2584.59</v>
      </c>
      <c r="G6" s="17">
        <f t="shared" si="1"/>
        <v>87735619.3813</v>
      </c>
      <c r="H6" s="55">
        <f t="shared" ref="H6:H10" si="2">G6</f>
        <v>87735619.3813</v>
      </c>
    </row>
    <row r="7" ht="18.95" customHeight="1" spans="1:8">
      <c r="A7" s="18"/>
      <c r="B7" s="19" t="s">
        <v>12</v>
      </c>
      <c r="C7" s="20">
        <v>8007</v>
      </c>
      <c r="D7" s="21">
        <v>14476656</v>
      </c>
      <c r="E7" s="21">
        <f t="shared" si="0"/>
        <v>1808</v>
      </c>
      <c r="F7" s="20">
        <v>2007.67</v>
      </c>
      <c r="G7" s="21">
        <f t="shared" si="1"/>
        <v>-1598757.69</v>
      </c>
      <c r="H7" s="56"/>
    </row>
    <row r="8" ht="18.95" customHeight="1" spans="1:8">
      <c r="A8" s="18"/>
      <c r="B8" s="22" t="s">
        <v>13</v>
      </c>
      <c r="C8" s="23">
        <v>4644.7</v>
      </c>
      <c r="D8" s="24">
        <v>9266210.1</v>
      </c>
      <c r="E8" s="24">
        <f t="shared" si="0"/>
        <v>1995.00723405171</v>
      </c>
      <c r="F8" s="23">
        <v>1624.4</v>
      </c>
      <c r="G8" s="24">
        <f t="shared" si="1"/>
        <v>1721359.42</v>
      </c>
      <c r="H8" s="57">
        <f t="shared" si="2"/>
        <v>1721359.42</v>
      </c>
    </row>
    <row r="9" s="1" customFormat="1" ht="18.95" customHeight="1" spans="1:8">
      <c r="A9" s="25"/>
      <c r="B9" s="10" t="s">
        <v>14</v>
      </c>
      <c r="C9" s="26">
        <f t="shared" ref="C9:H9" si="3">SUM(C6:C8)</f>
        <v>133192.63</v>
      </c>
      <c r="D9" s="26">
        <f t="shared" si="3"/>
        <v>423027367.75</v>
      </c>
      <c r="E9" s="26"/>
      <c r="F9" s="26"/>
      <c r="G9" s="26">
        <f t="shared" si="3"/>
        <v>87858221.1113</v>
      </c>
      <c r="H9" s="58">
        <f t="shared" si="3"/>
        <v>89456978.8013</v>
      </c>
    </row>
    <row r="10" ht="18.95" customHeight="1" spans="1:8">
      <c r="A10" s="14" t="s">
        <v>15</v>
      </c>
      <c r="B10" s="15" t="s">
        <v>11</v>
      </c>
      <c r="C10" s="16">
        <v>71747.8500000001</v>
      </c>
      <c r="D10" s="17">
        <v>187290163.883333</v>
      </c>
      <c r="E10" s="17">
        <f t="shared" ref="E10:E12" si="4">D10/C10</f>
        <v>2610.39409380675</v>
      </c>
      <c r="F10" s="16">
        <v>2584.59</v>
      </c>
      <c r="G10" s="17">
        <f t="shared" ref="G10:G12" si="5">C10*(E10-F10)</f>
        <v>1851388.25183274</v>
      </c>
      <c r="H10" s="55">
        <f t="shared" si="2"/>
        <v>1851388.25183274</v>
      </c>
    </row>
    <row r="11" ht="18.95" customHeight="1" spans="1:8">
      <c r="A11" s="18"/>
      <c r="B11" s="19" t="s">
        <v>12</v>
      </c>
      <c r="C11" s="20">
        <v>12000.9</v>
      </c>
      <c r="D11" s="21">
        <v>21697627.2</v>
      </c>
      <c r="E11" s="21">
        <f t="shared" si="4"/>
        <v>1808</v>
      </c>
      <c r="F11" s="20">
        <v>2007.67</v>
      </c>
      <c r="G11" s="21">
        <f t="shared" si="5"/>
        <v>-2396219.703</v>
      </c>
      <c r="H11" s="56"/>
    </row>
    <row r="12" ht="18.95" customHeight="1" spans="1:8">
      <c r="A12" s="18"/>
      <c r="B12" s="22" t="s">
        <v>13</v>
      </c>
      <c r="C12" s="23">
        <v>13392.8</v>
      </c>
      <c r="D12" s="24">
        <v>26656179.1</v>
      </c>
      <c r="E12" s="24">
        <f t="shared" si="4"/>
        <v>1990.3365315692</v>
      </c>
      <c r="F12" s="23">
        <v>1624.4</v>
      </c>
      <c r="G12" s="24">
        <f t="shared" si="5"/>
        <v>4900914.78</v>
      </c>
      <c r="H12" s="57">
        <f>G12</f>
        <v>4900914.78</v>
      </c>
    </row>
    <row r="13" s="1" customFormat="1" ht="18.75" customHeight="1" spans="1:8">
      <c r="A13" s="25"/>
      <c r="B13" s="10" t="s">
        <v>14</v>
      </c>
      <c r="C13" s="26">
        <f t="shared" ref="C13:H13" si="6">SUM(C10:C12)</f>
        <v>97141.5500000001</v>
      </c>
      <c r="D13" s="26">
        <f t="shared" si="6"/>
        <v>235643970.183333</v>
      </c>
      <c r="E13" s="26"/>
      <c r="F13" s="26"/>
      <c r="G13" s="26">
        <f t="shared" si="6"/>
        <v>4356083.32883274</v>
      </c>
      <c r="H13" s="58">
        <f t="shared" si="6"/>
        <v>6752303.03183274</v>
      </c>
    </row>
    <row r="14" ht="18.75" customHeight="1" spans="1:8">
      <c r="A14" s="14" t="s">
        <v>16</v>
      </c>
      <c r="B14" s="15" t="s">
        <v>11</v>
      </c>
      <c r="C14" s="16">
        <v>52991</v>
      </c>
      <c r="D14" s="17">
        <f>152367079.392/1.2</f>
        <v>126972566.16</v>
      </c>
      <c r="E14" s="17">
        <f t="shared" ref="E14:E16" si="7">D14/C14</f>
        <v>2396.11568304052</v>
      </c>
      <c r="F14" s="16">
        <v>2584.59</v>
      </c>
      <c r="G14" s="17">
        <f t="shared" ref="G14:G16" si="8">C14*(E14-F14)</f>
        <v>-9987442.53000002</v>
      </c>
      <c r="H14" s="59"/>
    </row>
    <row r="15" ht="18.95" customHeight="1" spans="1:8">
      <c r="A15" s="18"/>
      <c r="B15" s="19" t="s">
        <v>12</v>
      </c>
      <c r="C15" s="20">
        <v>19032</v>
      </c>
      <c r="D15" s="21">
        <v>34409856</v>
      </c>
      <c r="E15" s="21">
        <f t="shared" si="7"/>
        <v>1808</v>
      </c>
      <c r="F15" s="20">
        <v>2007.67</v>
      </c>
      <c r="G15" s="21">
        <f t="shared" si="8"/>
        <v>-3800119.44</v>
      </c>
      <c r="H15" s="56"/>
    </row>
    <row r="16" ht="18.75" customHeight="1" spans="1:8">
      <c r="A16" s="18"/>
      <c r="B16" s="22" t="s">
        <v>13</v>
      </c>
      <c r="C16" s="23">
        <v>12006</v>
      </c>
      <c r="D16" s="24">
        <v>23627808</v>
      </c>
      <c r="E16" s="24">
        <f t="shared" si="7"/>
        <v>1968</v>
      </c>
      <c r="F16" s="23">
        <v>1624.4</v>
      </c>
      <c r="G16" s="24">
        <f t="shared" si="8"/>
        <v>4125261.6</v>
      </c>
      <c r="H16" s="57">
        <f t="shared" ref="H16:H20" si="9">G16</f>
        <v>4125261.6</v>
      </c>
    </row>
    <row r="17" s="1" customFormat="1" ht="18.95" customHeight="1" spans="1:8">
      <c r="A17" s="25"/>
      <c r="B17" s="10" t="s">
        <v>14</v>
      </c>
      <c r="C17" s="26">
        <f t="shared" ref="C17:H17" si="10">SUM(C14:C16)</f>
        <v>84029</v>
      </c>
      <c r="D17" s="26">
        <f t="shared" si="10"/>
        <v>185010230.16</v>
      </c>
      <c r="E17" s="26"/>
      <c r="F17" s="26"/>
      <c r="G17" s="26">
        <f t="shared" si="10"/>
        <v>-9662300.37000002</v>
      </c>
      <c r="H17" s="58">
        <f t="shared" si="10"/>
        <v>4125261.6</v>
      </c>
    </row>
    <row r="18" ht="18.75" customHeight="1" spans="1:8">
      <c r="A18" s="14" t="s">
        <v>17</v>
      </c>
      <c r="B18" s="15" t="s">
        <v>11</v>
      </c>
      <c r="C18" s="16">
        <v>10952</v>
      </c>
      <c r="D18" s="17">
        <v>38830047</v>
      </c>
      <c r="E18" s="17">
        <f t="shared" ref="E18:E20" si="11">D18/C18</f>
        <v>3545.47543827611</v>
      </c>
      <c r="F18" s="16">
        <v>2584.59</v>
      </c>
      <c r="G18" s="17">
        <f t="shared" ref="G18:G20" si="12">C18*(E18-F18)</f>
        <v>10523617.32</v>
      </c>
      <c r="H18" s="55">
        <f t="shared" si="9"/>
        <v>10523617.32</v>
      </c>
    </row>
    <row r="19" ht="18.95" customHeight="1" spans="1:8">
      <c r="A19" s="18"/>
      <c r="B19" s="19" t="s">
        <v>12</v>
      </c>
      <c r="C19" s="20">
        <v>15042</v>
      </c>
      <c r="D19" s="21">
        <v>27195936</v>
      </c>
      <c r="E19" s="21">
        <f t="shared" si="11"/>
        <v>1808</v>
      </c>
      <c r="F19" s="20">
        <v>2007.67</v>
      </c>
      <c r="G19" s="21">
        <f t="shared" si="12"/>
        <v>-3003436.14</v>
      </c>
      <c r="H19" s="56"/>
    </row>
    <row r="20" ht="18.95" customHeight="1" spans="1:8">
      <c r="A20" s="18"/>
      <c r="B20" s="22" t="s">
        <v>13</v>
      </c>
      <c r="C20" s="23">
        <v>11500</v>
      </c>
      <c r="D20" s="24">
        <v>22632000</v>
      </c>
      <c r="E20" s="24">
        <f t="shared" si="11"/>
        <v>1968</v>
      </c>
      <c r="F20" s="23">
        <v>1624.4</v>
      </c>
      <c r="G20" s="24">
        <f t="shared" si="12"/>
        <v>3951400</v>
      </c>
      <c r="H20" s="57">
        <f t="shared" si="9"/>
        <v>3951400</v>
      </c>
    </row>
    <row r="21" s="1" customFormat="1" ht="18" customHeight="1" spans="1:8">
      <c r="A21" s="25"/>
      <c r="B21" s="10" t="s">
        <v>14</v>
      </c>
      <c r="C21" s="26">
        <f t="shared" ref="C21:H21" si="13">SUM(C18:C20)</f>
        <v>37494</v>
      </c>
      <c r="D21" s="26">
        <f t="shared" si="13"/>
        <v>88657983</v>
      </c>
      <c r="E21" s="26"/>
      <c r="F21" s="26"/>
      <c r="G21" s="26">
        <f t="shared" si="13"/>
        <v>11471581.18</v>
      </c>
      <c r="H21" s="58">
        <f t="shared" si="13"/>
        <v>14475017.32</v>
      </c>
    </row>
    <row r="22" ht="3" hidden="1" customHeight="1" spans="1:8">
      <c r="A22" s="14" t="s">
        <v>18</v>
      </c>
      <c r="B22" s="15" t="s">
        <v>11</v>
      </c>
      <c r="C22" s="16"/>
      <c r="D22" s="17"/>
      <c r="E22" s="17"/>
      <c r="F22" s="16">
        <v>2584.59</v>
      </c>
      <c r="G22" s="17"/>
      <c r="H22" s="55">
        <f t="shared" ref="H22:H24" si="14">G22</f>
        <v>0</v>
      </c>
    </row>
    <row r="23" ht="18.95" hidden="1" customHeight="1" spans="1:8">
      <c r="A23" s="18"/>
      <c r="B23" s="19" t="s">
        <v>12</v>
      </c>
      <c r="C23" s="20"/>
      <c r="D23" s="21"/>
      <c r="E23" s="21"/>
      <c r="F23" s="20">
        <v>2007.67</v>
      </c>
      <c r="G23" s="21"/>
      <c r="H23" s="56">
        <f t="shared" si="14"/>
        <v>0</v>
      </c>
    </row>
    <row r="24" ht="18.95" hidden="1" customHeight="1" spans="1:8">
      <c r="A24" s="18"/>
      <c r="B24" s="22" t="s">
        <v>13</v>
      </c>
      <c r="C24" s="23"/>
      <c r="D24" s="24"/>
      <c r="E24" s="24"/>
      <c r="F24" s="23">
        <v>1624.4</v>
      </c>
      <c r="G24" s="24"/>
      <c r="H24" s="57">
        <f t="shared" si="14"/>
        <v>0</v>
      </c>
    </row>
    <row r="25" s="1" customFormat="1" ht="18.95" hidden="1" customHeight="1" spans="1:8">
      <c r="A25" s="25"/>
      <c r="B25" s="10" t="s">
        <v>14</v>
      </c>
      <c r="C25" s="26">
        <f t="shared" ref="C25:H25" si="15">SUM(C22:C24)</f>
        <v>0</v>
      </c>
      <c r="D25" s="26">
        <f t="shared" si="15"/>
        <v>0</v>
      </c>
      <c r="E25" s="26"/>
      <c r="F25" s="26"/>
      <c r="G25" s="26">
        <f t="shared" si="15"/>
        <v>0</v>
      </c>
      <c r="H25" s="58">
        <f t="shared" si="15"/>
        <v>0</v>
      </c>
    </row>
    <row r="26" ht="18.75" customHeight="1" spans="1:8">
      <c r="A26" s="14" t="s">
        <v>19</v>
      </c>
      <c r="B26" s="15" t="s">
        <v>11</v>
      </c>
      <c r="C26" s="16">
        <v>660</v>
      </c>
      <c r="D26" s="17">
        <f>2714180/1.2</f>
        <v>2261816.66666667</v>
      </c>
      <c r="E26" s="17">
        <f t="shared" ref="E26:E32" si="16">D26/C26</f>
        <v>3426.99494949495</v>
      </c>
      <c r="F26" s="16">
        <v>2584.59</v>
      </c>
      <c r="G26" s="17">
        <f>C26*(E26-F26)</f>
        <v>555987.266666667</v>
      </c>
      <c r="H26" s="55">
        <f t="shared" ref="H26" si="17">G26</f>
        <v>555987.266666667</v>
      </c>
    </row>
    <row r="27" ht="18.95" customHeight="1" spans="1:8">
      <c r="A27" s="18"/>
      <c r="B27" s="19" t="s">
        <v>12</v>
      </c>
      <c r="C27" s="20"/>
      <c r="D27" s="21"/>
      <c r="E27" s="21"/>
      <c r="F27" s="20">
        <v>2007.67</v>
      </c>
      <c r="G27" s="21"/>
      <c r="H27" s="56"/>
    </row>
    <row r="28" ht="18.95" customHeight="1" spans="1:8">
      <c r="A28" s="18"/>
      <c r="B28" s="22" t="s">
        <v>13</v>
      </c>
      <c r="C28" s="23"/>
      <c r="D28" s="24"/>
      <c r="E28" s="24"/>
      <c r="F28" s="23">
        <v>1624.4</v>
      </c>
      <c r="G28" s="24"/>
      <c r="H28" s="57"/>
    </row>
    <row r="29" s="1" customFormat="1" ht="18.95" customHeight="1" spans="1:8">
      <c r="A29" s="27"/>
      <c r="B29" s="28" t="s">
        <v>14</v>
      </c>
      <c r="C29" s="29">
        <f t="shared" ref="C29:H29" si="18">SUM(C26:C28)</f>
        <v>660</v>
      </c>
      <c r="D29" s="29">
        <f t="shared" si="18"/>
        <v>2261816.66666667</v>
      </c>
      <c r="E29" s="29"/>
      <c r="F29" s="29"/>
      <c r="G29" s="29">
        <f t="shared" si="18"/>
        <v>555987.266666667</v>
      </c>
      <c r="H29" s="60">
        <f t="shared" si="18"/>
        <v>555987.266666667</v>
      </c>
    </row>
    <row r="30" s="1" customFormat="1" ht="18.95" customHeight="1" spans="1:8">
      <c r="A30" s="30" t="s">
        <v>20</v>
      </c>
      <c r="B30" s="15" t="s">
        <v>11</v>
      </c>
      <c r="C30" s="16">
        <f t="shared" ref="C30:H32" si="19">C6+C10+C14+C18+C22+C26</f>
        <v>256891.78</v>
      </c>
      <c r="D30" s="16">
        <f t="shared" si="19"/>
        <v>754639095.36</v>
      </c>
      <c r="E30" s="16">
        <f t="shared" si="16"/>
        <v>2937.57587479054</v>
      </c>
      <c r="F30" s="16">
        <v>2584.59</v>
      </c>
      <c r="G30" s="16">
        <f t="shared" si="19"/>
        <v>90679169.6897994</v>
      </c>
      <c r="H30" s="55">
        <f t="shared" si="19"/>
        <v>100666612.219799</v>
      </c>
    </row>
    <row r="31" s="1" customFormat="1" ht="18.95" customHeight="1" spans="1:8">
      <c r="A31" s="31"/>
      <c r="B31" s="19" t="s">
        <v>12</v>
      </c>
      <c r="C31" s="20">
        <f t="shared" si="19"/>
        <v>54081.9</v>
      </c>
      <c r="D31" s="20">
        <f t="shared" si="19"/>
        <v>97780075.2</v>
      </c>
      <c r="E31" s="20">
        <f t="shared" si="16"/>
        <v>1808</v>
      </c>
      <c r="F31" s="20">
        <v>2007.67</v>
      </c>
      <c r="G31" s="20">
        <f t="shared" si="19"/>
        <v>-10798532.973</v>
      </c>
      <c r="H31" s="56"/>
    </row>
    <row r="32" s="1" customFormat="1" ht="18.95" customHeight="1" spans="1:8">
      <c r="A32" s="31"/>
      <c r="B32" s="22" t="s">
        <v>13</v>
      </c>
      <c r="C32" s="23">
        <f t="shared" si="19"/>
        <v>41543.5</v>
      </c>
      <c r="D32" s="23">
        <f t="shared" si="19"/>
        <v>82182197.2</v>
      </c>
      <c r="E32" s="23">
        <f t="shared" si="16"/>
        <v>1978.22035216099</v>
      </c>
      <c r="F32" s="23">
        <v>1624.4</v>
      </c>
      <c r="G32" s="23">
        <f t="shared" si="19"/>
        <v>14698935.8</v>
      </c>
      <c r="H32" s="57">
        <f t="shared" si="19"/>
        <v>14698935.8</v>
      </c>
    </row>
    <row r="33" s="1" customFormat="1" ht="18.95" customHeight="1" spans="1:8">
      <c r="A33" s="32"/>
      <c r="B33" s="33" t="s">
        <v>14</v>
      </c>
      <c r="C33" s="34">
        <f t="shared" ref="C33:H33" si="20">SUM(C30:C32)</f>
        <v>352517.18</v>
      </c>
      <c r="D33" s="34">
        <f t="shared" si="20"/>
        <v>934601367.76</v>
      </c>
      <c r="E33" s="34"/>
      <c r="F33" s="34"/>
      <c r="G33" s="34">
        <f t="shared" si="20"/>
        <v>94579572.5167993</v>
      </c>
      <c r="H33" s="61">
        <f t="shared" si="20"/>
        <v>115365548.019799</v>
      </c>
    </row>
    <row r="34" ht="18.75" customHeight="1" spans="1:8">
      <c r="A34" s="35" t="s">
        <v>21</v>
      </c>
      <c r="B34" s="36" t="s">
        <v>11</v>
      </c>
      <c r="C34" s="37"/>
      <c r="D34" s="38"/>
      <c r="E34" s="38"/>
      <c r="F34" s="37">
        <v>2584.59</v>
      </c>
      <c r="G34" s="38"/>
      <c r="H34" s="62"/>
    </row>
    <row r="35" ht="18.95" customHeight="1" spans="1:8">
      <c r="A35" s="18"/>
      <c r="B35" s="19" t="s">
        <v>12</v>
      </c>
      <c r="C35" s="20">
        <v>6045</v>
      </c>
      <c r="D35" s="21">
        <f>11673868.0032/1.0681</f>
        <v>10929564.6505009</v>
      </c>
      <c r="E35" s="21">
        <f t="shared" ref="E35:E40" si="21">D35/C35</f>
        <v>1808.033854508</v>
      </c>
      <c r="F35" s="20">
        <v>2007.67</v>
      </c>
      <c r="G35" s="21">
        <f t="shared" ref="G35:G40" si="22">C35*(E35-F35)</f>
        <v>-1206800.49949911</v>
      </c>
      <c r="H35" s="56"/>
    </row>
    <row r="36" ht="18.95" customHeight="1" spans="1:8">
      <c r="A36" s="18"/>
      <c r="B36" s="22" t="s">
        <v>13</v>
      </c>
      <c r="C36" s="23">
        <v>5038</v>
      </c>
      <c r="D36" s="24">
        <f>10590179.08608/1.0681</f>
        <v>9914969.65272914</v>
      </c>
      <c r="E36" s="24">
        <f t="shared" si="21"/>
        <v>1968.03685048216</v>
      </c>
      <c r="F36" s="23">
        <v>1624.4</v>
      </c>
      <c r="G36" s="24">
        <f t="shared" si="22"/>
        <v>1731242.45272914</v>
      </c>
      <c r="H36" s="57">
        <f t="shared" ref="H36:H38" si="23">G36</f>
        <v>1731242.45272914</v>
      </c>
    </row>
    <row r="37" s="1" customFormat="1" ht="18.95" customHeight="1" spans="1:8">
      <c r="A37" s="25"/>
      <c r="B37" s="10" t="s">
        <v>14</v>
      </c>
      <c r="C37" s="26">
        <f t="shared" ref="C37:H37" si="24">SUM(C34:C36)</f>
        <v>11083</v>
      </c>
      <c r="D37" s="26">
        <f t="shared" si="24"/>
        <v>20844534.30323</v>
      </c>
      <c r="E37" s="26"/>
      <c r="F37" s="26"/>
      <c r="G37" s="26">
        <f t="shared" si="24"/>
        <v>524441.953230033</v>
      </c>
      <c r="H37" s="58">
        <f t="shared" si="24"/>
        <v>1731242.45272914</v>
      </c>
    </row>
    <row r="38" ht="18.75" customHeight="1" spans="1:8">
      <c r="A38" s="14" t="s">
        <v>22</v>
      </c>
      <c r="B38" s="15" t="s">
        <v>11</v>
      </c>
      <c r="C38" s="16"/>
      <c r="D38" s="17"/>
      <c r="E38" s="17" t="e">
        <f t="shared" si="21"/>
        <v>#DIV/0!</v>
      </c>
      <c r="F38" s="16">
        <v>2584.59</v>
      </c>
      <c r="G38" s="17"/>
      <c r="H38" s="55">
        <f t="shared" si="23"/>
        <v>0</v>
      </c>
    </row>
    <row r="39" ht="18.95" customHeight="1" spans="1:8">
      <c r="A39" s="18"/>
      <c r="B39" s="19" t="s">
        <v>12</v>
      </c>
      <c r="C39" s="20">
        <v>25188</v>
      </c>
      <c r="D39" s="21">
        <f>48642082.26048/1.0681</f>
        <v>45540756.7273476</v>
      </c>
      <c r="E39" s="21">
        <f t="shared" si="21"/>
        <v>1808.033854508</v>
      </c>
      <c r="F39" s="20">
        <v>2007.67</v>
      </c>
      <c r="G39" s="21">
        <f t="shared" si="22"/>
        <v>-5028435.23265237</v>
      </c>
      <c r="H39" s="56"/>
    </row>
    <row r="40" ht="18.95" customHeight="1" spans="1:8">
      <c r="A40" s="18"/>
      <c r="B40" s="22" t="s">
        <v>13</v>
      </c>
      <c r="C40" s="23">
        <v>8060</v>
      </c>
      <c r="D40" s="24">
        <f>16942604.8896/1.0681</f>
        <v>15862377.0148862</v>
      </c>
      <c r="E40" s="24">
        <f t="shared" si="21"/>
        <v>1968.03685048216</v>
      </c>
      <c r="F40" s="23">
        <v>1624.4</v>
      </c>
      <c r="G40" s="24">
        <f t="shared" si="22"/>
        <v>2769713.01488625</v>
      </c>
      <c r="H40" s="57">
        <f t="shared" ref="H40:H44" si="25">G40</f>
        <v>2769713.01488625</v>
      </c>
    </row>
    <row r="41" s="1" customFormat="1" ht="18.95" customHeight="1" spans="1:8">
      <c r="A41" s="25"/>
      <c r="B41" s="10" t="s">
        <v>14</v>
      </c>
      <c r="C41" s="26">
        <f t="shared" ref="C41:H41" si="26">SUM(C38:C40)</f>
        <v>33248</v>
      </c>
      <c r="D41" s="26">
        <f t="shared" si="26"/>
        <v>61403133.7422339</v>
      </c>
      <c r="E41" s="26"/>
      <c r="F41" s="26"/>
      <c r="G41" s="26">
        <f t="shared" si="26"/>
        <v>-2258722.21776613</v>
      </c>
      <c r="H41" s="58">
        <f t="shared" si="26"/>
        <v>2769713.01488625</v>
      </c>
    </row>
    <row r="42" ht="18.75" customHeight="1" spans="1:8">
      <c r="A42" s="14" t="s">
        <v>23</v>
      </c>
      <c r="B42" s="15" t="s">
        <v>11</v>
      </c>
      <c r="C42" s="16">
        <v>46770</v>
      </c>
      <c r="D42" s="17">
        <f>164143490.419307/1.0681</f>
        <v>153678017.432176</v>
      </c>
      <c r="E42" s="17">
        <f t="shared" ref="E42:E44" si="27">D42/C42</f>
        <v>3285.82461903305</v>
      </c>
      <c r="F42" s="16">
        <v>2584.59</v>
      </c>
      <c r="G42" s="17">
        <f t="shared" ref="G42:G44" si="28">C42*(E42-F42)</f>
        <v>32796743.1321758</v>
      </c>
      <c r="H42" s="55">
        <f t="shared" si="25"/>
        <v>32796743.1321758</v>
      </c>
    </row>
    <row r="43" ht="18.95" customHeight="1" spans="1:8">
      <c r="A43" s="18"/>
      <c r="B43" s="19" t="s">
        <v>12</v>
      </c>
      <c r="C43" s="20">
        <v>25188</v>
      </c>
      <c r="D43" s="21">
        <f>48642082.26048/1.0681</f>
        <v>45540756.7273476</v>
      </c>
      <c r="E43" s="21">
        <f t="shared" si="27"/>
        <v>1808.033854508</v>
      </c>
      <c r="F43" s="20">
        <v>2007.67</v>
      </c>
      <c r="G43" s="21">
        <f t="shared" si="28"/>
        <v>-5028435.23265237</v>
      </c>
      <c r="H43" s="56"/>
    </row>
    <row r="44" ht="18.95" customHeight="1" spans="1:8">
      <c r="A44" s="18"/>
      <c r="B44" s="19" t="s">
        <v>13</v>
      </c>
      <c r="C44" s="20">
        <v>15425</v>
      </c>
      <c r="D44" s="21">
        <f>32742445.81518/1.0681</f>
        <v>30654850.4963767</v>
      </c>
      <c r="E44" s="21">
        <f t="shared" si="27"/>
        <v>1987.34849247175</v>
      </c>
      <c r="F44" s="20">
        <v>1624.4</v>
      </c>
      <c r="G44" s="21">
        <f t="shared" si="28"/>
        <v>5598480.49637674</v>
      </c>
      <c r="H44" s="56">
        <f t="shared" si="25"/>
        <v>5598480.49637674</v>
      </c>
    </row>
    <row r="45" s="1" customFormat="1" ht="18.95" customHeight="1" spans="1:8">
      <c r="A45" s="25"/>
      <c r="B45" s="39" t="s">
        <v>14</v>
      </c>
      <c r="C45" s="40">
        <f t="shared" ref="C45:H45" si="29">SUM(C42:C44)</f>
        <v>87383</v>
      </c>
      <c r="D45" s="40">
        <f t="shared" si="29"/>
        <v>229873624.6559</v>
      </c>
      <c r="E45" s="40"/>
      <c r="F45" s="40"/>
      <c r="G45" s="40">
        <f t="shared" si="29"/>
        <v>33366788.3959002</v>
      </c>
      <c r="H45" s="63">
        <f t="shared" si="29"/>
        <v>38395223.6285526</v>
      </c>
    </row>
    <row r="46" ht="18.75" customHeight="1" spans="1:8">
      <c r="A46" s="14" t="s">
        <v>24</v>
      </c>
      <c r="B46" s="15" t="s">
        <v>11</v>
      </c>
      <c r="C46" s="16">
        <v>78810</v>
      </c>
      <c r="D46" s="17">
        <f>230002121.681046/1.0681</f>
        <v>215337629.136828</v>
      </c>
      <c r="E46" s="17">
        <f t="shared" ref="E46:E48" si="30">D46/C46</f>
        <v>2732.36428291877</v>
      </c>
      <c r="F46" s="16">
        <v>2584.59</v>
      </c>
      <c r="G46" s="17">
        <f t="shared" ref="G46:G48" si="31">C46*(E46-F46)</f>
        <v>11646091.236828</v>
      </c>
      <c r="H46" s="55">
        <f t="shared" ref="H46:H48" si="32">G46</f>
        <v>11646091.236828</v>
      </c>
    </row>
    <row r="47" ht="18.95" customHeight="1" spans="1:8">
      <c r="A47" s="18"/>
      <c r="B47" s="19" t="s">
        <v>12</v>
      </c>
      <c r="C47" s="20">
        <v>24619</v>
      </c>
      <c r="D47" s="21">
        <f>73595006.0928/1.0681</f>
        <v>68902730.1683363</v>
      </c>
      <c r="E47" s="21">
        <f t="shared" si="30"/>
        <v>2798.76234486926</v>
      </c>
      <c r="F47" s="20">
        <v>2007.67</v>
      </c>
      <c r="G47" s="21">
        <f t="shared" si="31"/>
        <v>19475902.4383363</v>
      </c>
      <c r="H47" s="56">
        <f t="shared" si="32"/>
        <v>19475902.4383363</v>
      </c>
    </row>
    <row r="48" ht="18.95" customHeight="1" spans="1:8">
      <c r="A48" s="18"/>
      <c r="B48" s="22" t="s">
        <v>13</v>
      </c>
      <c r="C48" s="23">
        <v>17849</v>
      </c>
      <c r="D48" s="24">
        <f>38255297.2551/1.0681</f>
        <v>35816213.140249</v>
      </c>
      <c r="E48" s="24">
        <f t="shared" si="30"/>
        <v>2006.62295592185</v>
      </c>
      <c r="F48" s="23">
        <v>1624.4</v>
      </c>
      <c r="G48" s="24">
        <f t="shared" si="31"/>
        <v>6822297.54024903</v>
      </c>
      <c r="H48" s="57">
        <f t="shared" si="32"/>
        <v>6822297.54024903</v>
      </c>
    </row>
    <row r="49" s="1" customFormat="1" ht="18.95" customHeight="1" spans="1:8">
      <c r="A49" s="25"/>
      <c r="B49" s="10" t="s">
        <v>14</v>
      </c>
      <c r="C49" s="26">
        <f t="shared" ref="C49:H49" si="33">SUM(C46:C48)</f>
        <v>121278</v>
      </c>
      <c r="D49" s="26">
        <f t="shared" si="33"/>
        <v>320056572.445413</v>
      </c>
      <c r="E49" s="26"/>
      <c r="F49" s="26"/>
      <c r="G49" s="26">
        <f t="shared" si="33"/>
        <v>37944291.2154133</v>
      </c>
      <c r="H49" s="58">
        <f t="shared" si="33"/>
        <v>37944291.2154133</v>
      </c>
    </row>
    <row r="50" ht="18.95" customHeight="1" spans="1:8">
      <c r="A50" s="14" t="s">
        <v>25</v>
      </c>
      <c r="B50" s="15" t="s">
        <v>11</v>
      </c>
      <c r="C50" s="16">
        <v>109971</v>
      </c>
      <c r="D50" s="17">
        <f>360943926.948284/1.0681</f>
        <v>337930836.951862</v>
      </c>
      <c r="E50" s="17">
        <f t="shared" ref="E50:E52" si="34">D50/C50</f>
        <v>3072.908648206</v>
      </c>
      <c r="F50" s="16">
        <v>2584.59</v>
      </c>
      <c r="G50" s="17">
        <f t="shared" ref="G50:G56" si="35">C50*(E50-F50)</f>
        <v>53700890.0618621</v>
      </c>
      <c r="H50" s="55">
        <f t="shared" ref="H50:H52" si="36">G50</f>
        <v>53700890.0618621</v>
      </c>
    </row>
    <row r="51" ht="18.95" customHeight="1" spans="1:8">
      <c r="A51" s="18"/>
      <c r="B51" s="19" t="s">
        <v>12</v>
      </c>
      <c r="C51" s="20">
        <v>24000</v>
      </c>
      <c r="D51" s="21">
        <f>89337556.8/1.0681</f>
        <v>83641566.145492</v>
      </c>
      <c r="E51" s="21">
        <f t="shared" si="34"/>
        <v>3485.06525606217</v>
      </c>
      <c r="F51" s="20">
        <v>2007.67</v>
      </c>
      <c r="G51" s="21">
        <f t="shared" si="35"/>
        <v>35457486.145492</v>
      </c>
      <c r="H51" s="56">
        <f t="shared" si="36"/>
        <v>35457486.145492</v>
      </c>
    </row>
    <row r="52" ht="18.95" customHeight="1" spans="1:8">
      <c r="A52" s="18"/>
      <c r="B52" s="22" t="s">
        <v>13</v>
      </c>
      <c r="C52" s="23">
        <v>18193</v>
      </c>
      <c r="D52" s="24">
        <f>39008873.53908/1.0681</f>
        <v>36521742.8509316</v>
      </c>
      <c r="E52" s="24">
        <f t="shared" si="34"/>
        <v>2007.46126812134</v>
      </c>
      <c r="F52" s="23">
        <v>1624.4</v>
      </c>
      <c r="G52" s="24">
        <f t="shared" si="35"/>
        <v>6969033.65093156</v>
      </c>
      <c r="H52" s="57">
        <f t="shared" si="36"/>
        <v>6969033.65093156</v>
      </c>
    </row>
    <row r="53" s="1" customFormat="1" ht="18.95" customHeight="1" spans="1:8">
      <c r="A53" s="25"/>
      <c r="B53" s="10" t="s">
        <v>14</v>
      </c>
      <c r="C53" s="26">
        <f t="shared" ref="C53:H53" si="37">SUM(C50:C52)</f>
        <v>152164</v>
      </c>
      <c r="D53" s="26">
        <f t="shared" si="37"/>
        <v>458094145.948286</v>
      </c>
      <c r="E53" s="26"/>
      <c r="F53" s="26"/>
      <c r="G53" s="26">
        <f t="shared" si="37"/>
        <v>96127409.8582857</v>
      </c>
      <c r="H53" s="58">
        <f t="shared" si="37"/>
        <v>96127409.8582857</v>
      </c>
    </row>
    <row r="54" ht="18.95" customHeight="1" spans="1:8">
      <c r="A54" s="14" t="s">
        <v>26</v>
      </c>
      <c r="B54" s="15" t="s">
        <v>11</v>
      </c>
      <c r="C54" s="16">
        <f>111435-31500</f>
        <v>79935</v>
      </c>
      <c r="D54" s="17">
        <f>C54*3025.34</f>
        <v>241830552.9</v>
      </c>
      <c r="E54" s="17">
        <f t="shared" ref="E54:E56" si="38">D54/C54</f>
        <v>3025.34</v>
      </c>
      <c r="F54" s="16">
        <v>2584.59</v>
      </c>
      <c r="G54" s="64">
        <f t="shared" si="35"/>
        <v>35231351.25</v>
      </c>
      <c r="H54" s="65">
        <f>G54</f>
        <v>35231351.25</v>
      </c>
    </row>
    <row r="55" ht="18.95" customHeight="1" spans="1:8">
      <c r="A55" s="18"/>
      <c r="B55" s="19" t="s">
        <v>12</v>
      </c>
      <c r="C55" s="20">
        <f>10075-1500</f>
        <v>8575</v>
      </c>
      <c r="D55" s="21">
        <f>C55*1808.03</f>
        <v>15503857.25</v>
      </c>
      <c r="E55" s="21">
        <f t="shared" si="38"/>
        <v>1808.03</v>
      </c>
      <c r="F55" s="20">
        <v>2007.67</v>
      </c>
      <c r="G55" s="21">
        <f t="shared" si="35"/>
        <v>-1711913</v>
      </c>
      <c r="H55" s="66"/>
    </row>
    <row r="56" ht="18.95" customHeight="1" spans="1:8">
      <c r="A56" s="18"/>
      <c r="B56" s="22" t="s">
        <v>13</v>
      </c>
      <c r="C56" s="23">
        <f>15844-6200</f>
        <v>9644</v>
      </c>
      <c r="D56" s="24">
        <f>C56*2039.62</f>
        <v>19670095.28</v>
      </c>
      <c r="E56" s="24">
        <f t="shared" si="38"/>
        <v>2039.62</v>
      </c>
      <c r="F56" s="23">
        <v>1624.4</v>
      </c>
      <c r="G56" s="21">
        <f t="shared" si="35"/>
        <v>4004381.68</v>
      </c>
      <c r="H56" s="67">
        <f>G56</f>
        <v>4004381.68</v>
      </c>
    </row>
    <row r="57" s="1" customFormat="1" ht="18.95" customHeight="1" spans="1:8">
      <c r="A57" s="25"/>
      <c r="B57" s="28" t="s">
        <v>14</v>
      </c>
      <c r="C57" s="29">
        <f t="shared" ref="C57:H57" si="39">SUM(C54:C56)</f>
        <v>98154</v>
      </c>
      <c r="D57" s="29">
        <f t="shared" si="39"/>
        <v>277004505.43</v>
      </c>
      <c r="E57" s="29"/>
      <c r="F57" s="29"/>
      <c r="G57" s="68">
        <f t="shared" si="39"/>
        <v>37523819.93</v>
      </c>
      <c r="H57" s="69">
        <f t="shared" si="39"/>
        <v>39235732.93</v>
      </c>
    </row>
    <row r="58" s="1" customFormat="1" ht="18.95" customHeight="1" spans="1:8">
      <c r="A58" s="30" t="s">
        <v>27</v>
      </c>
      <c r="B58" s="15" t="s">
        <v>11</v>
      </c>
      <c r="C58" s="16">
        <f t="shared" ref="C58:H60" si="40">C34+C38+C42+C46+C50+C54</f>
        <v>315486</v>
      </c>
      <c r="D58" s="16">
        <f t="shared" si="40"/>
        <v>948777036.420866</v>
      </c>
      <c r="E58" s="16">
        <f t="shared" ref="E58:E60" si="41">D58/C58</f>
        <v>3007.35067933558</v>
      </c>
      <c r="F58" s="16">
        <v>2584.59</v>
      </c>
      <c r="G58" s="16">
        <f t="shared" si="40"/>
        <v>133375075.680866</v>
      </c>
      <c r="H58" s="55">
        <f t="shared" si="40"/>
        <v>133375075.680866</v>
      </c>
    </row>
    <row r="59" s="1" customFormat="1" ht="18.95" customHeight="1" spans="1:8">
      <c r="A59" s="31"/>
      <c r="B59" s="19" t="s">
        <v>12</v>
      </c>
      <c r="C59" s="20">
        <f t="shared" si="40"/>
        <v>113615</v>
      </c>
      <c r="D59" s="20">
        <f t="shared" si="40"/>
        <v>270059231.669024</v>
      </c>
      <c r="E59" s="20">
        <f t="shared" si="41"/>
        <v>2376.96810869185</v>
      </c>
      <c r="F59" s="20">
        <v>2007.67</v>
      </c>
      <c r="G59" s="20">
        <f t="shared" si="40"/>
        <v>41957804.6190244</v>
      </c>
      <c r="H59" s="56">
        <f t="shared" si="40"/>
        <v>54933388.5838283</v>
      </c>
    </row>
    <row r="60" s="1" customFormat="1" ht="18.95" customHeight="1" spans="1:8">
      <c r="A60" s="31"/>
      <c r="B60" s="22" t="s">
        <v>13</v>
      </c>
      <c r="C60" s="23">
        <f t="shared" si="40"/>
        <v>74209</v>
      </c>
      <c r="D60" s="23">
        <f t="shared" si="40"/>
        <v>148440248.435173</v>
      </c>
      <c r="E60" s="23">
        <f t="shared" si="41"/>
        <v>2000.29980777497</v>
      </c>
      <c r="F60" s="23">
        <v>1624.4</v>
      </c>
      <c r="G60" s="23">
        <f t="shared" si="40"/>
        <v>27895148.8351727</v>
      </c>
      <c r="H60" s="57">
        <f t="shared" si="40"/>
        <v>27895148.8351727</v>
      </c>
    </row>
    <row r="61" s="1" customFormat="1" ht="18.95" customHeight="1" spans="1:8">
      <c r="A61" s="32"/>
      <c r="B61" s="33" t="s">
        <v>14</v>
      </c>
      <c r="C61" s="34">
        <f t="shared" ref="C61:H61" si="42">SUM(C58:C60)</f>
        <v>503310</v>
      </c>
      <c r="D61" s="34">
        <f t="shared" si="42"/>
        <v>1367276516.52506</v>
      </c>
      <c r="E61" s="34"/>
      <c r="F61" s="34"/>
      <c r="G61" s="34">
        <f t="shared" si="42"/>
        <v>203228029.135063</v>
      </c>
      <c r="H61" s="61">
        <f t="shared" si="42"/>
        <v>216203613.099867</v>
      </c>
    </row>
    <row r="62" ht="18.95" customHeight="1" spans="1:8">
      <c r="A62" s="41" t="s">
        <v>28</v>
      </c>
      <c r="B62" s="42" t="s">
        <v>11</v>
      </c>
      <c r="C62" s="43">
        <f t="shared" ref="C62:H64" si="43">C30+C58</f>
        <v>572377.78</v>
      </c>
      <c r="D62" s="43">
        <f t="shared" si="43"/>
        <v>1703416131.78087</v>
      </c>
      <c r="E62" s="43">
        <f t="shared" ref="E62:E64" si="44">D62/C62</f>
        <v>2976.03469474455</v>
      </c>
      <c r="F62" s="43">
        <v>2584.59</v>
      </c>
      <c r="G62" s="43">
        <f t="shared" si="43"/>
        <v>224054245.370665</v>
      </c>
      <c r="H62" s="70">
        <f t="shared" si="43"/>
        <v>234041687.900665</v>
      </c>
    </row>
    <row r="63" ht="18.95" customHeight="1" spans="1:8">
      <c r="A63" s="44"/>
      <c r="B63" s="45" t="s">
        <v>12</v>
      </c>
      <c r="C63" s="43">
        <f t="shared" si="43"/>
        <v>167696.9</v>
      </c>
      <c r="D63" s="43">
        <f t="shared" si="43"/>
        <v>367839306.869024</v>
      </c>
      <c r="E63" s="71">
        <f t="shared" si="44"/>
        <v>2193.4770819796</v>
      </c>
      <c r="F63" s="71">
        <v>2007.67</v>
      </c>
      <c r="G63" s="43">
        <f t="shared" si="43"/>
        <v>31159271.6460244</v>
      </c>
      <c r="H63" s="70">
        <f t="shared" si="43"/>
        <v>54933388.5838283</v>
      </c>
    </row>
    <row r="64" s="2" customFormat="1" ht="18.95" customHeight="1" spans="1:8">
      <c r="A64" s="44"/>
      <c r="B64" s="46" t="s">
        <v>13</v>
      </c>
      <c r="C64" s="43">
        <f t="shared" si="43"/>
        <v>115752.5</v>
      </c>
      <c r="D64" s="43">
        <f t="shared" si="43"/>
        <v>230622445.635173</v>
      </c>
      <c r="E64" s="72">
        <f t="shared" si="44"/>
        <v>1992.37550493659</v>
      </c>
      <c r="F64" s="72">
        <v>1624.4</v>
      </c>
      <c r="G64" s="43">
        <f t="shared" si="43"/>
        <v>42594084.6351727</v>
      </c>
      <c r="H64" s="70">
        <f t="shared" si="43"/>
        <v>42594084.6351727</v>
      </c>
    </row>
    <row r="65" s="1" customFormat="1" ht="38" customHeight="1" spans="1:9">
      <c r="A65" s="73"/>
      <c r="B65" s="74" t="s">
        <v>14</v>
      </c>
      <c r="C65" s="75">
        <f>SUM(C62:C64)</f>
        <v>855827.18</v>
      </c>
      <c r="D65" s="75">
        <f t="shared" ref="C65:H65" si="45">SUM(D62:D64)</f>
        <v>2301877884.28506</v>
      </c>
      <c r="E65" s="75"/>
      <c r="F65" s="75"/>
      <c r="G65" s="102">
        <f t="shared" si="45"/>
        <v>297807601.651862</v>
      </c>
      <c r="H65" s="103">
        <f t="shared" si="45"/>
        <v>331569161.119666</v>
      </c>
      <c r="I65" s="122">
        <v>297805575</v>
      </c>
    </row>
    <row r="66" s="1" customFormat="1" ht="23" customHeight="1" spans="1:9">
      <c r="A66" s="76"/>
      <c r="B66" s="77"/>
      <c r="C66" s="78"/>
      <c r="D66" s="79"/>
      <c r="E66" s="79"/>
      <c r="F66" s="79"/>
      <c r="G66" s="104"/>
      <c r="H66" s="105"/>
      <c r="I66" s="122"/>
    </row>
    <row r="67" s="1" customFormat="1" ht="23.1" customHeight="1" spans="1:8">
      <c r="A67" s="80" t="s">
        <v>29</v>
      </c>
      <c r="B67" s="80"/>
      <c r="C67" s="80"/>
      <c r="D67" s="81"/>
      <c r="E67" s="106"/>
      <c r="F67" s="81"/>
      <c r="G67" s="81"/>
      <c r="H67" s="105"/>
    </row>
    <row r="68" s="1" customFormat="1" ht="18.95" customHeight="1" spans="1:8">
      <c r="A68" s="14" t="s">
        <v>10</v>
      </c>
      <c r="B68" s="15" t="s">
        <v>30</v>
      </c>
      <c r="C68" s="16"/>
      <c r="D68" s="17"/>
      <c r="E68" s="17"/>
      <c r="F68" s="16"/>
      <c r="G68" s="55"/>
      <c r="H68" s="105"/>
    </row>
    <row r="69" s="1" customFormat="1" ht="21.95" customHeight="1" spans="1:8">
      <c r="A69" s="25"/>
      <c r="B69" s="82" t="s">
        <v>14</v>
      </c>
      <c r="C69" s="83">
        <f t="shared" ref="C69:G69" si="46">SUM(C68:C68)</f>
        <v>0</v>
      </c>
      <c r="D69" s="83">
        <f t="shared" si="46"/>
        <v>0</v>
      </c>
      <c r="E69" s="83"/>
      <c r="F69" s="83"/>
      <c r="G69" s="107">
        <f t="shared" si="46"/>
        <v>0</v>
      </c>
      <c r="H69" s="105"/>
    </row>
    <row r="70" s="1" customFormat="1" ht="21" customHeight="1" spans="1:8">
      <c r="A70" s="30" t="s">
        <v>20</v>
      </c>
      <c r="B70" s="15"/>
      <c r="C70" s="16">
        <f t="shared" ref="C70:G70" si="47">C69</f>
        <v>0</v>
      </c>
      <c r="D70" s="16">
        <f t="shared" si="47"/>
        <v>0</v>
      </c>
      <c r="E70" s="16">
        <f t="shared" si="47"/>
        <v>0</v>
      </c>
      <c r="F70" s="16">
        <f t="shared" si="47"/>
        <v>0</v>
      </c>
      <c r="G70" s="55">
        <f t="shared" si="47"/>
        <v>0</v>
      </c>
      <c r="H70" s="105"/>
    </row>
    <row r="71" s="1" customFormat="1" ht="21" customHeight="1" spans="1:8">
      <c r="A71" s="32"/>
      <c r="B71" s="33" t="s">
        <v>14</v>
      </c>
      <c r="C71" s="34">
        <f t="shared" ref="C71:G71" si="48">C69</f>
        <v>0</v>
      </c>
      <c r="D71" s="34">
        <f t="shared" si="48"/>
        <v>0</v>
      </c>
      <c r="E71" s="34"/>
      <c r="F71" s="34"/>
      <c r="G71" s="61">
        <f t="shared" si="48"/>
        <v>0</v>
      </c>
      <c r="H71" s="105"/>
    </row>
    <row r="72" s="1" customFormat="1" ht="21.95" customHeight="1" spans="1:8">
      <c r="A72" s="14" t="s">
        <v>24</v>
      </c>
      <c r="B72" s="36" t="s">
        <v>30</v>
      </c>
      <c r="C72" s="37">
        <v>450</v>
      </c>
      <c r="D72" s="17">
        <f>7500/1.2*C72</f>
        <v>2812500</v>
      </c>
      <c r="E72" s="17">
        <f>7500/1.2</f>
        <v>6250</v>
      </c>
      <c r="F72" s="16">
        <v>4043.44</v>
      </c>
      <c r="G72" s="17">
        <f>(E72-F72)*C72</f>
        <v>992952</v>
      </c>
      <c r="H72" s="105"/>
    </row>
    <row r="73" s="1" customFormat="1" ht="21.95" customHeight="1" spans="1:8">
      <c r="A73" s="25"/>
      <c r="B73" s="82" t="s">
        <v>14</v>
      </c>
      <c r="C73" s="83">
        <f t="shared" ref="C73:G73" si="49">SUM(C72:C72)</f>
        <v>450</v>
      </c>
      <c r="D73" s="83">
        <f t="shared" si="49"/>
        <v>2812500</v>
      </c>
      <c r="E73" s="83"/>
      <c r="F73" s="83"/>
      <c r="G73" s="107">
        <f t="shared" si="49"/>
        <v>992952</v>
      </c>
      <c r="H73" s="105"/>
    </row>
    <row r="74" s="1" customFormat="1" ht="20.1" customHeight="1" spans="1:8">
      <c r="A74" s="30" t="s">
        <v>27</v>
      </c>
      <c r="B74" s="15"/>
      <c r="C74" s="16">
        <f t="shared" ref="C74:G75" si="50">C72</f>
        <v>450</v>
      </c>
      <c r="D74" s="16">
        <f t="shared" si="50"/>
        <v>2812500</v>
      </c>
      <c r="E74" s="16"/>
      <c r="F74" s="16"/>
      <c r="G74" s="55">
        <f t="shared" si="50"/>
        <v>992952</v>
      </c>
      <c r="H74" s="105"/>
    </row>
    <row r="75" s="1" customFormat="1" ht="21.95" customHeight="1" spans="1:8">
      <c r="A75" s="32"/>
      <c r="B75" s="33" t="s">
        <v>14</v>
      </c>
      <c r="C75" s="34">
        <f t="shared" si="50"/>
        <v>450</v>
      </c>
      <c r="D75" s="34">
        <f t="shared" si="50"/>
        <v>2812500</v>
      </c>
      <c r="E75" s="34"/>
      <c r="F75" s="34"/>
      <c r="G75" s="61">
        <f t="shared" si="50"/>
        <v>992952</v>
      </c>
      <c r="H75" s="105"/>
    </row>
    <row r="76" s="1" customFormat="1" ht="21.95" customHeight="1" spans="1:8">
      <c r="A76" s="84" t="s">
        <v>28</v>
      </c>
      <c r="B76" s="85"/>
      <c r="C76" s="86">
        <f t="shared" ref="C76:G76" si="51">C71+C75</f>
        <v>450</v>
      </c>
      <c r="D76" s="86">
        <f t="shared" si="51"/>
        <v>2812500</v>
      </c>
      <c r="E76" s="86">
        <f t="shared" si="51"/>
        <v>0</v>
      </c>
      <c r="F76" s="86">
        <f t="shared" si="51"/>
        <v>0</v>
      </c>
      <c r="G76" s="108">
        <f t="shared" si="51"/>
        <v>992952</v>
      </c>
      <c r="H76" s="105"/>
    </row>
    <row r="77" s="1" customFormat="1" ht="27" customHeight="1" spans="1:8">
      <c r="A77" s="73"/>
      <c r="B77" s="74" t="s">
        <v>14</v>
      </c>
      <c r="C77" s="75">
        <f>C71+C75</f>
        <v>450</v>
      </c>
      <c r="D77" s="75">
        <f>D71+D75</f>
        <v>2812500</v>
      </c>
      <c r="E77" s="75"/>
      <c r="F77" s="75"/>
      <c r="G77" s="109">
        <f>SUM(G76:G76)</f>
        <v>992952</v>
      </c>
      <c r="H77" s="105"/>
    </row>
    <row r="78" s="1" customFormat="1" ht="16" customHeight="1" spans="1:8">
      <c r="A78" s="87"/>
      <c r="B78" s="88"/>
      <c r="C78" s="89"/>
      <c r="D78" s="90"/>
      <c r="E78" s="90"/>
      <c r="F78" s="90"/>
      <c r="G78" s="110"/>
      <c r="H78" s="105"/>
    </row>
    <row r="79" s="1" customFormat="1" ht="23.1" customHeight="1" spans="1:8">
      <c r="A79" s="80" t="s">
        <v>31</v>
      </c>
      <c r="B79" s="80"/>
      <c r="C79" s="80"/>
      <c r="D79" s="90"/>
      <c r="E79" s="90"/>
      <c r="F79" s="90"/>
      <c r="G79" s="110"/>
      <c r="H79" s="105"/>
    </row>
    <row r="80" ht="20.1" customHeight="1" spans="1:8">
      <c r="A80" s="14" t="s">
        <v>10</v>
      </c>
      <c r="B80" s="15" t="s">
        <v>32</v>
      </c>
      <c r="C80" s="16">
        <v>1105.38</v>
      </c>
      <c r="D80" s="17">
        <f t="shared" ref="D80:D84" si="52">C80*E80</f>
        <v>5913783</v>
      </c>
      <c r="E80" s="17">
        <v>5350</v>
      </c>
      <c r="F80" s="16">
        <v>5350</v>
      </c>
      <c r="G80" s="111">
        <f t="shared" ref="G80:G81" si="53">(E80-F80)*C80</f>
        <v>0</v>
      </c>
      <c r="H80" s="112">
        <f>G80</f>
        <v>0</v>
      </c>
    </row>
    <row r="81" ht="18.95" customHeight="1" spans="1:8">
      <c r="A81" s="91"/>
      <c r="B81" s="36" t="s">
        <v>33</v>
      </c>
      <c r="C81" s="37">
        <v>190.71</v>
      </c>
      <c r="D81" s="38">
        <f t="shared" si="52"/>
        <v>1487538</v>
      </c>
      <c r="E81" s="38">
        <f>7800</f>
        <v>7800</v>
      </c>
      <c r="F81" s="37">
        <f>6900</f>
        <v>6900</v>
      </c>
      <c r="G81" s="113">
        <f t="shared" si="53"/>
        <v>171639</v>
      </c>
      <c r="H81" s="114"/>
    </row>
    <row r="82" ht="18.95" customHeight="1" spans="1:8">
      <c r="A82" s="25"/>
      <c r="B82" s="10" t="s">
        <v>14</v>
      </c>
      <c r="C82" s="26">
        <f>SUM(C80:C81)</f>
        <v>1296.09</v>
      </c>
      <c r="D82" s="26">
        <f>SUM(D80:D81)</f>
        <v>7401321</v>
      </c>
      <c r="E82" s="26"/>
      <c r="F82" s="26"/>
      <c r="G82" s="58">
        <f>SUM(G80:G81)</f>
        <v>171639</v>
      </c>
      <c r="H82" s="115">
        <f>SUM(H80:H80)</f>
        <v>0</v>
      </c>
    </row>
    <row r="83" s="3" customFormat="1" ht="18.95" customHeight="1" spans="1:8">
      <c r="A83" s="14" t="s">
        <v>15</v>
      </c>
      <c r="B83" s="15" t="s">
        <v>32</v>
      </c>
      <c r="C83" s="16">
        <v>1105.382</v>
      </c>
      <c r="D83" s="17">
        <f t="shared" si="52"/>
        <v>5913793.7</v>
      </c>
      <c r="E83" s="17">
        <v>5350</v>
      </c>
      <c r="F83" s="16">
        <v>5350</v>
      </c>
      <c r="G83" s="17">
        <f t="shared" ref="G83:G87" si="54">(E83-F83)*C83</f>
        <v>0</v>
      </c>
      <c r="H83" s="55">
        <f>G83</f>
        <v>0</v>
      </c>
    </row>
    <row r="84" s="3" customFormat="1" ht="18.95" customHeight="1" spans="1:8">
      <c r="A84" s="91"/>
      <c r="B84" s="36" t="s">
        <v>33</v>
      </c>
      <c r="C84" s="37">
        <v>190.71</v>
      </c>
      <c r="D84" s="38">
        <f t="shared" si="52"/>
        <v>1487538</v>
      </c>
      <c r="E84" s="38">
        <f>7800</f>
        <v>7800</v>
      </c>
      <c r="F84" s="37">
        <f>6900</f>
        <v>6900</v>
      </c>
      <c r="G84" s="38">
        <f t="shared" si="54"/>
        <v>171639</v>
      </c>
      <c r="H84" s="116"/>
    </row>
    <row r="85" ht="17.25" spans="1:8">
      <c r="A85" s="25"/>
      <c r="B85" s="10" t="s">
        <v>14</v>
      </c>
      <c r="C85" s="26">
        <f t="shared" ref="C85:G85" si="55">SUM(C83:C84)</f>
        <v>1296.092</v>
      </c>
      <c r="D85" s="26">
        <f t="shared" si="55"/>
        <v>7401331.7</v>
      </c>
      <c r="E85" s="26"/>
      <c r="F85" s="26"/>
      <c r="G85" s="26">
        <f t="shared" si="55"/>
        <v>171639</v>
      </c>
      <c r="H85" s="58">
        <f>SUM(H83:H83)</f>
        <v>0</v>
      </c>
    </row>
    <row r="86" ht="17.25" spans="1:8">
      <c r="A86" s="14" t="s">
        <v>16</v>
      </c>
      <c r="B86" s="15" t="s">
        <v>32</v>
      </c>
      <c r="C86" s="16">
        <v>1105.382</v>
      </c>
      <c r="D86" s="17">
        <f t="shared" ref="D86:D90" si="56">C86*E86</f>
        <v>5913793.7</v>
      </c>
      <c r="E86" s="17">
        <v>5350</v>
      </c>
      <c r="F86" s="16">
        <v>5350</v>
      </c>
      <c r="G86" s="17">
        <f t="shared" si="54"/>
        <v>0</v>
      </c>
      <c r="H86" s="55">
        <f>G86</f>
        <v>0</v>
      </c>
    </row>
    <row r="87" ht="17.25" spans="1:8">
      <c r="A87" s="91"/>
      <c r="B87" s="36" t="s">
        <v>33</v>
      </c>
      <c r="C87" s="37">
        <v>190.71</v>
      </c>
      <c r="D87" s="38">
        <f t="shared" si="56"/>
        <v>1487538</v>
      </c>
      <c r="E87" s="38">
        <f>7800</f>
        <v>7800</v>
      </c>
      <c r="F87" s="37">
        <f>6900</f>
        <v>6900</v>
      </c>
      <c r="G87" s="38">
        <f t="shared" si="54"/>
        <v>171639</v>
      </c>
      <c r="H87" s="116"/>
    </row>
    <row r="88" ht="17.25" spans="1:8">
      <c r="A88" s="25"/>
      <c r="B88" s="10" t="s">
        <v>14</v>
      </c>
      <c r="C88" s="26">
        <f t="shared" ref="C88:G88" si="57">SUM(C86:C87)</f>
        <v>1296.092</v>
      </c>
      <c r="D88" s="26">
        <f t="shared" si="57"/>
        <v>7401331.7</v>
      </c>
      <c r="E88" s="26"/>
      <c r="F88" s="26"/>
      <c r="G88" s="26">
        <f t="shared" si="57"/>
        <v>171639</v>
      </c>
      <c r="H88" s="58">
        <f>SUM(H86:H86)</f>
        <v>0</v>
      </c>
    </row>
    <row r="89" ht="17.25" spans="1:8">
      <c r="A89" s="14" t="s">
        <v>17</v>
      </c>
      <c r="B89" s="15" t="s">
        <v>32</v>
      </c>
      <c r="C89" s="16">
        <v>1105.382</v>
      </c>
      <c r="D89" s="17">
        <f t="shared" si="56"/>
        <v>5913793.7</v>
      </c>
      <c r="E89" s="17">
        <v>5350</v>
      </c>
      <c r="F89" s="16">
        <v>5350</v>
      </c>
      <c r="G89" s="17">
        <f t="shared" ref="G89:G90" si="58">(E89-F89)*C89</f>
        <v>0</v>
      </c>
      <c r="H89" s="55">
        <f>G89</f>
        <v>0</v>
      </c>
    </row>
    <row r="90" ht="17.25" spans="1:8">
      <c r="A90" s="91"/>
      <c r="B90" s="36" t="s">
        <v>33</v>
      </c>
      <c r="C90" s="37">
        <v>190.71</v>
      </c>
      <c r="D90" s="38">
        <f t="shared" si="56"/>
        <v>1487538</v>
      </c>
      <c r="E90" s="38">
        <f>7800</f>
        <v>7800</v>
      </c>
      <c r="F90" s="37">
        <f>6900</f>
        <v>6900</v>
      </c>
      <c r="G90" s="38">
        <f t="shared" si="58"/>
        <v>171639</v>
      </c>
      <c r="H90" s="116"/>
    </row>
    <row r="91" ht="17.25" spans="1:8">
      <c r="A91" s="25"/>
      <c r="B91" s="10" t="s">
        <v>14</v>
      </c>
      <c r="C91" s="26">
        <f t="shared" ref="C91:G91" si="59">SUM(C89:C90)</f>
        <v>1296.092</v>
      </c>
      <c r="D91" s="26">
        <f t="shared" si="59"/>
        <v>7401331.7</v>
      </c>
      <c r="E91" s="26"/>
      <c r="F91" s="26"/>
      <c r="G91" s="26">
        <f t="shared" si="59"/>
        <v>171639</v>
      </c>
      <c r="H91" s="58">
        <f>SUM(H89:H89)</f>
        <v>0</v>
      </c>
    </row>
    <row r="92" ht="17.25" spans="1:8">
      <c r="A92" s="30" t="s">
        <v>20</v>
      </c>
      <c r="B92" s="15" t="s">
        <v>32</v>
      </c>
      <c r="C92" s="16">
        <f>C80+C83+C86+C89</f>
        <v>4421.526</v>
      </c>
      <c r="D92" s="16">
        <f>D82+D85+D88+D91</f>
        <v>29605316.1</v>
      </c>
      <c r="E92" s="17">
        <v>5350</v>
      </c>
      <c r="F92" s="16">
        <v>5350</v>
      </c>
      <c r="G92" s="17">
        <f t="shared" ref="G92:G93" si="60">(E92-F92)*C92</f>
        <v>0</v>
      </c>
      <c r="H92" s="60"/>
    </row>
    <row r="93" ht="17.25" spans="1:8">
      <c r="A93" s="31"/>
      <c r="B93" s="36" t="s">
        <v>33</v>
      </c>
      <c r="C93" s="37">
        <f>C81+C84+C87+C90</f>
        <v>762.84</v>
      </c>
      <c r="D93" s="37">
        <f>D83+D86+D89+D92</f>
        <v>47346697.2</v>
      </c>
      <c r="E93" s="117">
        <v>7800</v>
      </c>
      <c r="F93" s="118">
        <v>6900</v>
      </c>
      <c r="G93" s="38">
        <f t="shared" si="60"/>
        <v>686556</v>
      </c>
      <c r="H93" s="55"/>
    </row>
    <row r="94" ht="17.25" spans="1:8">
      <c r="A94" s="32"/>
      <c r="B94" s="33" t="s">
        <v>14</v>
      </c>
      <c r="C94" s="34">
        <f>C82+C85+C88+C91</f>
        <v>5184.366</v>
      </c>
      <c r="D94" s="34">
        <f>D82+D85+D88+D91</f>
        <v>29605316.1</v>
      </c>
      <c r="E94" s="26"/>
      <c r="F94" s="26"/>
      <c r="G94" s="34">
        <f>G82+G85+G88+G91</f>
        <v>686556</v>
      </c>
      <c r="H94" s="61">
        <f>H82+H85+H88+H91</f>
        <v>0</v>
      </c>
    </row>
    <row r="95" ht="17.25" spans="1:8">
      <c r="A95" s="14" t="s">
        <v>24</v>
      </c>
      <c r="B95" s="15" t="s">
        <v>32</v>
      </c>
      <c r="C95" s="16">
        <v>1105.382</v>
      </c>
      <c r="D95" s="17">
        <f t="shared" ref="D95:D99" si="61">C95*E95</f>
        <v>5913793.7</v>
      </c>
      <c r="E95" s="17">
        <v>5350</v>
      </c>
      <c r="F95" s="16">
        <v>5350</v>
      </c>
      <c r="G95" s="17">
        <f t="shared" ref="G95:G99" si="62">(E95-F95)*C95</f>
        <v>0</v>
      </c>
      <c r="H95" s="55">
        <f>G95</f>
        <v>0</v>
      </c>
    </row>
    <row r="96" ht="17.25" spans="1:8">
      <c r="A96" s="91"/>
      <c r="B96" s="36" t="s">
        <v>33</v>
      </c>
      <c r="C96" s="37">
        <v>190.71</v>
      </c>
      <c r="D96" s="38">
        <f t="shared" si="61"/>
        <v>1487538</v>
      </c>
      <c r="E96" s="38">
        <f>7800</f>
        <v>7800</v>
      </c>
      <c r="F96" s="37">
        <f>6900</f>
        <v>6900</v>
      </c>
      <c r="G96" s="38">
        <f t="shared" si="62"/>
        <v>171639</v>
      </c>
      <c r="H96" s="116"/>
    </row>
    <row r="97" ht="17.25" spans="1:8">
      <c r="A97" s="25"/>
      <c r="B97" s="10" t="s">
        <v>14</v>
      </c>
      <c r="C97" s="26">
        <f t="shared" ref="C97:G97" si="63">SUM(C95:C96)</f>
        <v>1296.092</v>
      </c>
      <c r="D97" s="26">
        <f t="shared" si="63"/>
        <v>7401331.7</v>
      </c>
      <c r="E97" s="26"/>
      <c r="F97" s="26"/>
      <c r="G97" s="26">
        <f t="shared" si="63"/>
        <v>171639</v>
      </c>
      <c r="H97" s="58">
        <f>SUM(H95:H95)</f>
        <v>0</v>
      </c>
    </row>
    <row r="98" ht="17.25" spans="1:8">
      <c r="A98" s="14" t="s">
        <v>25</v>
      </c>
      <c r="B98" s="15" t="s">
        <v>32</v>
      </c>
      <c r="C98" s="16">
        <v>1105.382</v>
      </c>
      <c r="D98" s="17">
        <f t="shared" si="61"/>
        <v>5913793.7</v>
      </c>
      <c r="E98" s="17">
        <v>5350</v>
      </c>
      <c r="F98" s="16">
        <v>5350</v>
      </c>
      <c r="G98" s="17">
        <f t="shared" si="62"/>
        <v>0</v>
      </c>
      <c r="H98" s="55">
        <f>G98</f>
        <v>0</v>
      </c>
    </row>
    <row r="99" ht="17.25" spans="1:8">
      <c r="A99" s="91"/>
      <c r="B99" s="36" t="s">
        <v>33</v>
      </c>
      <c r="C99" s="37">
        <v>190.71</v>
      </c>
      <c r="D99" s="38">
        <f t="shared" si="61"/>
        <v>1487538</v>
      </c>
      <c r="E99" s="38">
        <f>7800</f>
        <v>7800</v>
      </c>
      <c r="F99" s="37">
        <f>6900</f>
        <v>6900</v>
      </c>
      <c r="G99" s="38">
        <f t="shared" si="62"/>
        <v>171639</v>
      </c>
      <c r="H99" s="116"/>
    </row>
    <row r="100" ht="17.25" spans="1:8">
      <c r="A100" s="25"/>
      <c r="B100" s="10" t="s">
        <v>14</v>
      </c>
      <c r="C100" s="26">
        <f t="shared" ref="C100:G100" si="64">SUM(C98:C99)</f>
        <v>1296.092</v>
      </c>
      <c r="D100" s="26">
        <f t="shared" si="64"/>
        <v>7401331.7</v>
      </c>
      <c r="E100" s="26"/>
      <c r="F100" s="26"/>
      <c r="G100" s="26">
        <f t="shared" si="64"/>
        <v>171639</v>
      </c>
      <c r="H100" s="58">
        <f>SUM(H98:H98)</f>
        <v>0</v>
      </c>
    </row>
    <row r="101" ht="17.25" spans="1:8">
      <c r="A101" s="14" t="s">
        <v>26</v>
      </c>
      <c r="B101" s="15" t="s">
        <v>32</v>
      </c>
      <c r="C101" s="16">
        <v>1105.382</v>
      </c>
      <c r="D101" s="17">
        <f>C101*E101</f>
        <v>5913793.7</v>
      </c>
      <c r="E101" s="17">
        <v>5350</v>
      </c>
      <c r="F101" s="16">
        <v>5350</v>
      </c>
      <c r="G101" s="17">
        <f t="shared" ref="G101:G105" si="65">(E101-F101)*C101</f>
        <v>0</v>
      </c>
      <c r="H101" s="55">
        <f>G101</f>
        <v>0</v>
      </c>
    </row>
    <row r="102" ht="17.25" spans="1:8">
      <c r="A102" s="91"/>
      <c r="B102" s="36" t="s">
        <v>33</v>
      </c>
      <c r="C102" s="37">
        <v>190.71</v>
      </c>
      <c r="D102" s="38">
        <f>C102*E102</f>
        <v>1487538</v>
      </c>
      <c r="E102" s="38">
        <f>7800</f>
        <v>7800</v>
      </c>
      <c r="F102" s="37">
        <f>6900</f>
        <v>6900</v>
      </c>
      <c r="G102" s="38">
        <f t="shared" si="65"/>
        <v>171639</v>
      </c>
      <c r="H102" s="116"/>
    </row>
    <row r="103" ht="17.25" spans="1:8">
      <c r="A103" s="25"/>
      <c r="B103" s="10" t="s">
        <v>14</v>
      </c>
      <c r="C103" s="26">
        <f t="shared" ref="C103:G103" si="66">SUM(C101:C102)</f>
        <v>1296.092</v>
      </c>
      <c r="D103" s="26">
        <f t="shared" si="66"/>
        <v>7401331.7</v>
      </c>
      <c r="E103" s="26"/>
      <c r="F103" s="26"/>
      <c r="G103" s="26">
        <f t="shared" si="66"/>
        <v>171639</v>
      </c>
      <c r="H103" s="58">
        <f>SUM(H101:H101)</f>
        <v>0</v>
      </c>
    </row>
    <row r="104" ht="17.25" spans="1:8">
      <c r="A104" s="30" t="s">
        <v>27</v>
      </c>
      <c r="B104" s="15" t="s">
        <v>32</v>
      </c>
      <c r="C104" s="16">
        <f t="shared" ref="C104:D106" si="67">C95+C98+C101</f>
        <v>3316.146</v>
      </c>
      <c r="D104" s="16">
        <f t="shared" si="67"/>
        <v>17741381.1</v>
      </c>
      <c r="E104" s="17">
        <v>5350</v>
      </c>
      <c r="F104" s="16">
        <v>5350</v>
      </c>
      <c r="G104" s="17">
        <f t="shared" si="65"/>
        <v>0</v>
      </c>
      <c r="H104" s="55"/>
    </row>
    <row r="105" ht="17.25" spans="1:8">
      <c r="A105" s="31"/>
      <c r="B105" s="36" t="s">
        <v>33</v>
      </c>
      <c r="C105" s="37">
        <f t="shared" si="67"/>
        <v>572.13</v>
      </c>
      <c r="D105" s="37">
        <f t="shared" si="67"/>
        <v>4462614</v>
      </c>
      <c r="E105" s="117">
        <v>7800</v>
      </c>
      <c r="F105" s="118">
        <v>6900</v>
      </c>
      <c r="G105" s="38">
        <f t="shared" si="65"/>
        <v>514917</v>
      </c>
      <c r="H105" s="116"/>
    </row>
    <row r="106" ht="17.25" spans="1:8">
      <c r="A106" s="32"/>
      <c r="B106" s="33" t="s">
        <v>14</v>
      </c>
      <c r="C106" s="34">
        <f t="shared" si="67"/>
        <v>3888.276</v>
      </c>
      <c r="D106" s="34">
        <f t="shared" si="67"/>
        <v>22203995.1</v>
      </c>
      <c r="E106" s="26"/>
      <c r="F106" s="26"/>
      <c r="G106" s="34">
        <f>G97+G100+G103</f>
        <v>514917</v>
      </c>
      <c r="H106" s="61">
        <f>H97+H100+H103</f>
        <v>0</v>
      </c>
    </row>
    <row r="107" ht="21.75" spans="1:8">
      <c r="A107" s="92" t="s">
        <v>28</v>
      </c>
      <c r="B107" s="93"/>
      <c r="C107" s="94">
        <f>C94+C106</f>
        <v>9072.642</v>
      </c>
      <c r="D107" s="94">
        <f>D94+D106</f>
        <v>51809311.2</v>
      </c>
      <c r="E107" s="16"/>
      <c r="F107" s="16"/>
      <c r="G107" s="94">
        <f>G94+G106</f>
        <v>1201473</v>
      </c>
      <c r="H107" s="119">
        <f>H94+H106</f>
        <v>0</v>
      </c>
    </row>
    <row r="108" ht="21.75" spans="1:8">
      <c r="A108" s="73"/>
      <c r="B108" s="74" t="s">
        <v>14</v>
      </c>
      <c r="C108" s="75">
        <f>C94+C106</f>
        <v>9072.642</v>
      </c>
      <c r="D108" s="75">
        <f>D94+D106</f>
        <v>51809311.2</v>
      </c>
      <c r="E108" s="34"/>
      <c r="F108" s="34"/>
      <c r="G108" s="102">
        <f>SUM(G107:G107)</f>
        <v>1201473</v>
      </c>
      <c r="H108" s="103">
        <f>SUM(H107:H107)</f>
        <v>0</v>
      </c>
    </row>
    <row r="109" ht="21.75" spans="1:8">
      <c r="A109" s="95"/>
      <c r="B109" s="96"/>
      <c r="C109" s="90"/>
      <c r="D109" s="90"/>
      <c r="E109" s="90"/>
      <c r="F109" s="90"/>
      <c r="G109" s="90"/>
      <c r="H109" s="90"/>
    </row>
    <row r="110" ht="38.1" customHeight="1" spans="1:8">
      <c r="A110" s="97" t="s">
        <v>34</v>
      </c>
      <c r="B110" s="98"/>
      <c r="C110" s="99">
        <f>C65+C77+C108</f>
        <v>865349.822</v>
      </c>
      <c r="D110" s="99">
        <f>D65+D77+D108</f>
        <v>2356499695.48506</v>
      </c>
      <c r="E110" s="99"/>
      <c r="F110" s="99"/>
      <c r="G110" s="99">
        <f>G65+G77+G108</f>
        <v>300002026.651862</v>
      </c>
      <c r="H110" s="99" t="e">
        <f>H65+H108+#REF!+#REF!</f>
        <v>#REF!</v>
      </c>
    </row>
    <row r="111" ht="26" customHeight="1" spans="1:8">
      <c r="A111" s="100"/>
      <c r="B111" s="100"/>
      <c r="C111" s="100"/>
      <c r="D111" s="100"/>
      <c r="E111" s="100"/>
      <c r="F111" s="100"/>
      <c r="G111" s="100"/>
      <c r="H111" s="49"/>
    </row>
    <row r="112" ht="21" spans="1:8">
      <c r="A112" s="101" t="s">
        <v>35</v>
      </c>
      <c r="B112" s="101"/>
      <c r="C112" s="101"/>
      <c r="D112" s="101"/>
      <c r="E112" s="120"/>
      <c r="F112" s="120"/>
      <c r="G112" s="121" t="s">
        <v>36</v>
      </c>
      <c r="H112" s="49"/>
    </row>
  </sheetData>
  <mergeCells count="36">
    <mergeCell ref="A1:G1"/>
    <mergeCell ref="A2:H2"/>
    <mergeCell ref="A3:C3"/>
    <mergeCell ref="A67:C67"/>
    <mergeCell ref="A79:C79"/>
    <mergeCell ref="A112:D112"/>
    <mergeCell ref="A6:A9"/>
    <mergeCell ref="A10:A13"/>
    <mergeCell ref="A14:A17"/>
    <mergeCell ref="A18:A21"/>
    <mergeCell ref="A22:A25"/>
    <mergeCell ref="A26:A29"/>
    <mergeCell ref="A30:A33"/>
    <mergeCell ref="A34:A37"/>
    <mergeCell ref="A38:A41"/>
    <mergeCell ref="A42:A45"/>
    <mergeCell ref="A46:A49"/>
    <mergeCell ref="A50:A53"/>
    <mergeCell ref="A54:A57"/>
    <mergeCell ref="A58:A61"/>
    <mergeCell ref="A62:A65"/>
    <mergeCell ref="A68:A69"/>
    <mergeCell ref="A70:A71"/>
    <mergeCell ref="A72:A73"/>
    <mergeCell ref="A74:A75"/>
    <mergeCell ref="A76:A77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8"/>
  </mergeCells>
  <pageMargins left="0.432638888888889" right="0" top="0.314583333333333" bottom="0.314583333333333" header="0" footer="0"/>
  <pageSetup paperSize="256" scale="3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СВОД -уголь на 300млн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markevich_ov</cp:lastModifiedBy>
  <dcterms:created xsi:type="dcterms:W3CDTF">2022-04-02T09:55:00Z</dcterms:created>
  <dcterms:modified xsi:type="dcterms:W3CDTF">2022-06-07T11:22:49Z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1049-11.1.0.10702</vt:lpwstr>
  </property>
</Properties>
</file>