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140" windowWidth="19440" windowHeight="11295"/>
  </bookViews>
  <sheets>
    <sheet name="Приложение 5" sheetId="1" r:id="rId1"/>
    <sheet name="Приложение 6" sheetId="3" r:id="rId2"/>
  </sheets>
  <definedNames>
    <definedName name="_xlnm._FilterDatabase" localSheetId="0" hidden="1">'Приложение 5'!$D$12:$G$286</definedName>
    <definedName name="_xlnm._FilterDatabase" localSheetId="1" hidden="1">'Приложение 6'!$A$10:$I$717</definedName>
    <definedName name="OLE_LINK1" localSheetId="0">'Приложение 5'!$A$7</definedName>
    <definedName name="_xlnm.Print_Titles" localSheetId="0">'Приложение 5'!$11:$11</definedName>
    <definedName name="_xlnm.Print_Titles" localSheetId="1">'Приложение 6'!$10:$10</definedName>
    <definedName name="_xlnm.Print_Area" localSheetId="0">'Приложение 5'!$A$1:$P$288</definedName>
    <definedName name="_xlnm.Print_Area" localSheetId="1">'Приложение 6'!$A$1:$M$725</definedName>
  </definedNames>
  <calcPr calcId="145621" iterateDelta="0" fullPrecision="0"/>
</workbook>
</file>

<file path=xl/calcChain.xml><?xml version="1.0" encoding="utf-8"?>
<calcChain xmlns="http://schemas.openxmlformats.org/spreadsheetml/2006/main">
  <c r="K56" i="1" l="1"/>
  <c r="L162" i="1" l="1"/>
  <c r="L150" i="1"/>
  <c r="L49" i="1"/>
  <c r="L56" i="1"/>
  <c r="L153" i="1" l="1"/>
  <c r="I125" i="3" l="1"/>
  <c r="K150" i="1" l="1"/>
  <c r="O227" i="1" l="1"/>
  <c r="O207" i="1"/>
  <c r="O131" i="1"/>
  <c r="O244" i="1" l="1"/>
  <c r="O226" i="1" s="1"/>
  <c r="N244" i="1"/>
  <c r="M244" i="1"/>
  <c r="M226" i="1" s="1"/>
  <c r="L244" i="1"/>
  <c r="K244" i="1"/>
  <c r="M227" i="1"/>
  <c r="L227" i="1"/>
  <c r="L226" i="1" s="1"/>
  <c r="K207" i="1"/>
  <c r="K206" i="1" s="1"/>
  <c r="L207" i="1"/>
  <c r="M207" i="1"/>
  <c r="M206" i="1" s="1"/>
  <c r="N207" i="1"/>
  <c r="O204" i="1"/>
  <c r="H207" i="1"/>
  <c r="L206" i="1"/>
  <c r="N206" i="1"/>
  <c r="H205" i="1"/>
  <c r="H204" i="1" s="1"/>
  <c r="L198" i="1"/>
  <c r="M198" i="1"/>
  <c r="N198" i="1"/>
  <c r="H199" i="1"/>
  <c r="H198" i="1"/>
  <c r="N204" i="1"/>
  <c r="O206" i="1" l="1"/>
  <c r="M204" i="1"/>
  <c r="K262" i="1" l="1"/>
  <c r="K260" i="1"/>
  <c r="K282" i="1"/>
  <c r="K258" i="1"/>
  <c r="L678" i="3" l="1"/>
  <c r="K678" i="3"/>
  <c r="J678" i="3"/>
  <c r="I678" i="3"/>
  <c r="K664" i="3"/>
  <c r="K662" i="3" s="1"/>
  <c r="J664" i="3"/>
  <c r="I664" i="3"/>
  <c r="I662" i="3" s="1"/>
  <c r="H664" i="3"/>
  <c r="H662" i="3" s="1"/>
  <c r="I650" i="3"/>
  <c r="J650" i="3"/>
  <c r="K650" i="3"/>
  <c r="L650" i="3"/>
  <c r="J662" i="3"/>
  <c r="I613" i="3"/>
  <c r="J613" i="3"/>
  <c r="K613" i="3"/>
  <c r="L613" i="3"/>
  <c r="L608" i="3"/>
  <c r="K608" i="3"/>
  <c r="J608" i="3"/>
  <c r="I608" i="3"/>
  <c r="H594" i="3"/>
  <c r="L594" i="3"/>
  <c r="L592" i="3" s="1"/>
  <c r="K594" i="3"/>
  <c r="K592" i="3" s="1"/>
  <c r="J594" i="3"/>
  <c r="J592" i="3" s="1"/>
  <c r="I594" i="3"/>
  <c r="I592" i="3" s="1"/>
  <c r="I587" i="3"/>
  <c r="J587" i="3"/>
  <c r="K587" i="3"/>
  <c r="L587" i="3"/>
  <c r="L585" i="3"/>
  <c r="I585" i="3"/>
  <c r="J585" i="3"/>
  <c r="K585" i="3"/>
  <c r="I559" i="3"/>
  <c r="J559" i="3"/>
  <c r="K559" i="3"/>
  <c r="I557" i="3"/>
  <c r="M557" i="3" s="1"/>
  <c r="J557" i="3"/>
  <c r="K557" i="3"/>
  <c r="I524" i="3"/>
  <c r="J524" i="3"/>
  <c r="K524" i="3"/>
  <c r="M559" i="3"/>
  <c r="C557" i="3"/>
  <c r="C558" i="3"/>
  <c r="C559" i="3"/>
  <c r="C560" i="3"/>
  <c r="C561" i="3"/>
  <c r="C562" i="3"/>
  <c r="C563" i="3"/>
  <c r="I522" i="3"/>
  <c r="J522" i="3"/>
  <c r="K522" i="3"/>
  <c r="I517" i="3"/>
  <c r="I515" i="3" s="1"/>
  <c r="J517" i="3"/>
  <c r="J515" i="3" s="1"/>
  <c r="K517" i="3"/>
  <c r="K515" i="3" s="1"/>
  <c r="P262" i="1" l="1"/>
  <c r="P260" i="1"/>
  <c r="P257" i="1"/>
  <c r="P249" i="1"/>
  <c r="P242" i="1"/>
  <c r="P240" i="1"/>
  <c r="P238" i="1"/>
  <c r="N227" i="1"/>
  <c r="N226" i="1" s="1"/>
  <c r="P236" i="1"/>
  <c r="P223" i="1"/>
  <c r="I209" i="1"/>
  <c r="I207" i="1" s="1"/>
  <c r="J209" i="1"/>
  <c r="O200" i="1"/>
  <c r="O198" i="1" l="1"/>
  <c r="P208" i="1"/>
  <c r="O124" i="1"/>
  <c r="J405" i="3"/>
  <c r="K405" i="3"/>
  <c r="L405" i="3"/>
  <c r="I405" i="3"/>
  <c r="I403" i="3" s="1"/>
  <c r="L279" i="3"/>
  <c r="E279" i="3"/>
  <c r="O128" i="1" l="1"/>
  <c r="M131" i="1"/>
  <c r="N131" i="1"/>
  <c r="L131" i="1"/>
  <c r="L128" i="1" s="1"/>
  <c r="L104" i="1" s="1"/>
  <c r="L39" i="1"/>
  <c r="M39" i="1"/>
  <c r="N39" i="1"/>
  <c r="L41" i="1"/>
  <c r="M41" i="1"/>
  <c r="N41" i="1"/>
  <c r="M175" i="1"/>
  <c r="N175" i="1"/>
  <c r="O175" i="1"/>
  <c r="L175" i="1"/>
  <c r="L174" i="1"/>
  <c r="L172" i="1" l="1"/>
  <c r="L171" i="1"/>
  <c r="K279" i="3"/>
  <c r="N124" i="1"/>
  <c r="J279" i="3"/>
  <c r="M124" i="1"/>
  <c r="N128" i="1"/>
  <c r="M128" i="1"/>
  <c r="P175" i="1"/>
  <c r="I279" i="3"/>
  <c r="L124" i="1"/>
  <c r="I272" i="3" s="1"/>
  <c r="P179" i="1"/>
  <c r="L160" i="1"/>
  <c r="L157" i="1" s="1"/>
  <c r="M147" i="1"/>
  <c r="N147" i="1"/>
  <c r="K162" i="1" l="1"/>
  <c r="K159" i="1" l="1"/>
  <c r="K160" i="1"/>
  <c r="K157" i="1" s="1"/>
  <c r="K230" i="1"/>
  <c r="P228" i="1" s="1"/>
  <c r="K275" i="1" l="1"/>
  <c r="K274" i="1"/>
  <c r="K272" i="1"/>
  <c r="K44" i="1" l="1"/>
  <c r="K48" i="1" l="1"/>
  <c r="H111" i="3" l="1"/>
  <c r="H112" i="3" s="1"/>
  <c r="K58" i="1"/>
  <c r="P58" i="1" s="1"/>
  <c r="H125" i="3" l="1"/>
  <c r="K141" i="1" l="1"/>
  <c r="O49" i="1" l="1"/>
  <c r="O41" i="1" l="1"/>
  <c r="O39" i="1"/>
  <c r="K153" i="1"/>
  <c r="M145" i="1" l="1"/>
  <c r="N145" i="1"/>
  <c r="O145" i="1"/>
  <c r="L184" i="1" l="1"/>
  <c r="L169" i="1" s="1"/>
  <c r="L19" i="1" s="1"/>
  <c r="M184" i="1"/>
  <c r="M169" i="1" s="1"/>
  <c r="M19" i="1" s="1"/>
  <c r="N184" i="1"/>
  <c r="N169" i="1" s="1"/>
  <c r="N19" i="1" s="1"/>
  <c r="O184" i="1"/>
  <c r="O169" i="1" s="1"/>
  <c r="O19" i="1" s="1"/>
  <c r="L181" i="1"/>
  <c r="M181" i="1"/>
  <c r="N181" i="1"/>
  <c r="O181" i="1"/>
  <c r="K181" i="1"/>
  <c r="K184" i="1"/>
  <c r="P181" i="1" l="1"/>
  <c r="P184" i="1"/>
  <c r="K169" i="1"/>
  <c r="M125" i="3"/>
  <c r="M126" i="3"/>
  <c r="M127" i="3"/>
  <c r="M128" i="3"/>
  <c r="M129" i="3"/>
  <c r="M124" i="3"/>
  <c r="F123" i="3"/>
  <c r="G123" i="3"/>
  <c r="H123" i="3"/>
  <c r="I123" i="3"/>
  <c r="J123" i="3"/>
  <c r="K123" i="3"/>
  <c r="L123" i="3"/>
  <c r="E123" i="3"/>
  <c r="M119" i="3"/>
  <c r="M123" i="3" l="1"/>
  <c r="P169" i="1"/>
  <c r="K19" i="1"/>
  <c r="P19" i="1" s="1"/>
  <c r="P155" i="1" l="1"/>
  <c r="H237" i="3" l="1"/>
  <c r="K131" i="1"/>
  <c r="H279" i="3" s="1"/>
  <c r="F349" i="3" l="1"/>
  <c r="F347" i="3" s="1"/>
  <c r="G349" i="3"/>
  <c r="G347" i="3" s="1"/>
  <c r="H349" i="3"/>
  <c r="H347" i="3" s="1"/>
  <c r="I349" i="3"/>
  <c r="I347" i="3" s="1"/>
  <c r="J349" i="3"/>
  <c r="J347" i="3" s="1"/>
  <c r="K349" i="3"/>
  <c r="K347" i="3" s="1"/>
  <c r="L349" i="3"/>
  <c r="L347" i="3" s="1"/>
  <c r="E349" i="3"/>
  <c r="E347" i="3" s="1"/>
  <c r="M350" i="3"/>
  <c r="M349" i="3"/>
  <c r="M348" i="3"/>
  <c r="M347" i="3" l="1"/>
  <c r="H139" i="3"/>
  <c r="H137" i="3" s="1"/>
  <c r="G139" i="3"/>
  <c r="G137" i="3" s="1"/>
  <c r="F139" i="3"/>
  <c r="F137" i="3" s="1"/>
  <c r="E139" i="3"/>
  <c r="M140" i="3"/>
  <c r="M138" i="3"/>
  <c r="K62" i="1"/>
  <c r="J61" i="1"/>
  <c r="I61" i="1"/>
  <c r="H60" i="1"/>
  <c r="P63" i="1"/>
  <c r="E137" i="3" l="1"/>
  <c r="J342" i="3"/>
  <c r="K342" i="3"/>
  <c r="L342" i="3"/>
  <c r="E664" i="3"/>
  <c r="E662" i="3" s="1"/>
  <c r="F664" i="3"/>
  <c r="F662" i="3" s="1"/>
  <c r="G664" i="3"/>
  <c r="G662" i="3" s="1"/>
  <c r="I692" i="3"/>
  <c r="I690" i="3" s="1"/>
  <c r="J692" i="3"/>
  <c r="J690" i="3" s="1"/>
  <c r="K692" i="3"/>
  <c r="K690" i="3" s="1"/>
  <c r="L692" i="3"/>
  <c r="L690" i="3" s="1"/>
  <c r="H692" i="3"/>
  <c r="H690" i="3" s="1"/>
  <c r="M692" i="3"/>
  <c r="G692" i="3"/>
  <c r="G690" i="3" s="1"/>
  <c r="F692" i="3"/>
  <c r="F690" i="3" s="1"/>
  <c r="E692" i="3"/>
  <c r="E690" i="3" s="1"/>
  <c r="M690" i="3" l="1"/>
  <c r="P60" i="1" l="1"/>
  <c r="P282" i="1"/>
  <c r="L664" i="3"/>
  <c r="K273" i="1"/>
  <c r="K271" i="1"/>
  <c r="K234" i="1"/>
  <c r="L662" i="3" l="1"/>
  <c r="M664" i="3"/>
  <c r="E132" i="3"/>
  <c r="I59" i="1"/>
  <c r="J59" i="1"/>
  <c r="K59" i="1"/>
  <c r="L59" i="1"/>
  <c r="M59" i="1"/>
  <c r="N59" i="1"/>
  <c r="O59" i="1"/>
  <c r="H59" i="1"/>
  <c r="M662" i="3" l="1"/>
  <c r="P59" i="1"/>
  <c r="O94" i="1"/>
  <c r="L94" i="1"/>
  <c r="M94" i="1"/>
  <c r="N94" i="1"/>
  <c r="K94" i="1"/>
  <c r="H39" i="1"/>
  <c r="I97" i="3" l="1"/>
  <c r="J97" i="3"/>
  <c r="K97" i="3"/>
  <c r="L97" i="3"/>
  <c r="H97" i="3"/>
  <c r="G97" i="3"/>
  <c r="F97" i="3"/>
  <c r="I199" i="1" l="1"/>
  <c r="I198" i="1" s="1"/>
  <c r="J199" i="1"/>
  <c r="J198" i="1" s="1"/>
  <c r="K200" i="1"/>
  <c r="K198" i="1" s="1"/>
  <c r="K193" i="1"/>
  <c r="L193" i="1"/>
  <c r="L166" i="1" s="1"/>
  <c r="M193" i="1"/>
  <c r="N193" i="1"/>
  <c r="O193" i="1"/>
  <c r="I173" i="1"/>
  <c r="K174" i="1"/>
  <c r="K172" i="1" s="1"/>
  <c r="M174" i="1"/>
  <c r="M172" i="1" s="1"/>
  <c r="N174" i="1"/>
  <c r="N172" i="1" s="1"/>
  <c r="O174" i="1"/>
  <c r="O172" i="1" s="1"/>
  <c r="H173" i="1"/>
  <c r="I158" i="1"/>
  <c r="L159" i="1"/>
  <c r="M159" i="1"/>
  <c r="N159" i="1"/>
  <c r="O159" i="1"/>
  <c r="H158" i="1"/>
  <c r="O147" i="1"/>
  <c r="H146" i="1"/>
  <c r="K138" i="1"/>
  <c r="K105" i="1" s="1"/>
  <c r="L138" i="1"/>
  <c r="L105" i="1" s="1"/>
  <c r="M138" i="1"/>
  <c r="M105" i="1" s="1"/>
  <c r="N138" i="1"/>
  <c r="N105" i="1" s="1"/>
  <c r="O138" i="1"/>
  <c r="O105" i="1" s="1"/>
  <c r="H137" i="1"/>
  <c r="I107" i="1"/>
  <c r="H107" i="1"/>
  <c r="H40" i="1"/>
  <c r="H136" i="1" l="1"/>
  <c r="E307" i="3"/>
  <c r="H105" i="1"/>
  <c r="E76" i="3"/>
  <c r="I106" i="1"/>
  <c r="F230" i="3"/>
  <c r="H172" i="1"/>
  <c r="E398" i="3"/>
  <c r="H170" i="1"/>
  <c r="I172" i="1"/>
  <c r="I170" i="1"/>
  <c r="F398" i="3"/>
  <c r="P199" i="1"/>
  <c r="E489" i="3"/>
  <c r="G489" i="3"/>
  <c r="H106" i="1"/>
  <c r="E230" i="3"/>
  <c r="H145" i="1"/>
  <c r="E328" i="3"/>
  <c r="H142" i="1"/>
  <c r="H143" i="1"/>
  <c r="H157" i="1"/>
  <c r="E363" i="3"/>
  <c r="I157" i="1"/>
  <c r="F363" i="3"/>
  <c r="F489" i="3"/>
  <c r="P193" i="1"/>
  <c r="J28" i="1" l="1"/>
  <c r="J26" i="1" s="1"/>
  <c r="K28" i="1"/>
  <c r="K27" i="1" s="1"/>
  <c r="K25" i="1" s="1"/>
  <c r="L28" i="1"/>
  <c r="L27" i="1" s="1"/>
  <c r="M28" i="1"/>
  <c r="M27" i="1" s="1"/>
  <c r="N28" i="1"/>
  <c r="N27" i="1" s="1"/>
  <c r="O28" i="1"/>
  <c r="O27" i="1" s="1"/>
  <c r="H28" i="1"/>
  <c r="H26" i="1" s="1"/>
  <c r="J83" i="1"/>
  <c r="K75" i="1"/>
  <c r="K73" i="1" s="1"/>
  <c r="K68" i="1" s="1"/>
  <c r="L75" i="1"/>
  <c r="L71" i="1" s="1"/>
  <c r="M75" i="1"/>
  <c r="M71" i="1" s="1"/>
  <c r="N75" i="1"/>
  <c r="N73" i="1" s="1"/>
  <c r="N68" i="1" s="1"/>
  <c r="O75" i="1"/>
  <c r="O73" i="1" s="1"/>
  <c r="O68" i="1" s="1"/>
  <c r="H75" i="1"/>
  <c r="J93" i="1"/>
  <c r="H93" i="1"/>
  <c r="I101" i="1"/>
  <c r="J101" i="1"/>
  <c r="K101" i="1"/>
  <c r="L101" i="1"/>
  <c r="M101" i="1"/>
  <c r="N101" i="1"/>
  <c r="O101" i="1"/>
  <c r="H125" i="1"/>
  <c r="H25" i="1" l="1"/>
  <c r="H22" i="1"/>
  <c r="H23" i="1"/>
  <c r="J25" i="1"/>
  <c r="H101" i="1"/>
  <c r="H92" i="1"/>
  <c r="E202" i="3"/>
  <c r="H72" i="1"/>
  <c r="H67" i="1" s="1"/>
  <c r="H71" i="1"/>
  <c r="J92" i="1"/>
  <c r="G202" i="3"/>
  <c r="E27" i="3"/>
  <c r="G27" i="3"/>
  <c r="M73" i="1"/>
  <c r="M68" i="1" s="1"/>
  <c r="L73" i="1"/>
  <c r="L68" i="1" s="1"/>
  <c r="O71" i="1"/>
  <c r="K71" i="1"/>
  <c r="N71" i="1"/>
  <c r="H160" i="1"/>
  <c r="I160" i="1"/>
  <c r="M160" i="1"/>
  <c r="M157" i="1" s="1"/>
  <c r="N160" i="1"/>
  <c r="N157" i="1" s="1"/>
  <c r="O160" i="1"/>
  <c r="O157" i="1" s="1"/>
  <c r="L183" i="1"/>
  <c r="L168" i="1" s="1"/>
  <c r="M183" i="1"/>
  <c r="M168" i="1" s="1"/>
  <c r="N183" i="1"/>
  <c r="N168" i="1" s="1"/>
  <c r="O183" i="1"/>
  <c r="O168" i="1" s="1"/>
  <c r="K183" i="1"/>
  <c r="K168" i="1" s="1"/>
  <c r="L182" i="1"/>
  <c r="M182" i="1"/>
  <c r="N182" i="1"/>
  <c r="O182" i="1"/>
  <c r="K182" i="1"/>
  <c r="K227" i="1"/>
  <c r="K226" i="1" s="1"/>
  <c r="K224" i="1" s="1"/>
  <c r="H227" i="1"/>
  <c r="I244" i="1"/>
  <c r="H244" i="1"/>
  <c r="H196" i="1" s="1"/>
  <c r="H253" i="1"/>
  <c r="I283" i="1"/>
  <c r="I222" i="1" s="1"/>
  <c r="J283" i="1"/>
  <c r="J222" i="1" s="1"/>
  <c r="K283" i="1"/>
  <c r="L283" i="1"/>
  <c r="L266" i="1" s="1"/>
  <c r="L197" i="1" s="1"/>
  <c r="M283" i="1"/>
  <c r="N283" i="1"/>
  <c r="O283" i="1"/>
  <c r="O266" i="1" s="1"/>
  <c r="O197" i="1" s="1"/>
  <c r="H283" i="1"/>
  <c r="M266" i="1" l="1"/>
  <c r="M197" i="1" s="1"/>
  <c r="M264" i="1"/>
  <c r="K222" i="1"/>
  <c r="K204" i="1" s="1"/>
  <c r="K195" i="1" s="1"/>
  <c r="K18" i="1" s="1"/>
  <c r="K266" i="1"/>
  <c r="K264" i="1" s="1"/>
  <c r="H225" i="1"/>
  <c r="N266" i="1"/>
  <c r="N197" i="1" s="1"/>
  <c r="N264" i="1"/>
  <c r="L222" i="1"/>
  <c r="N167" i="1"/>
  <c r="N180" i="1"/>
  <c r="K167" i="1"/>
  <c r="K180" i="1"/>
  <c r="L167" i="1"/>
  <c r="L180" i="1"/>
  <c r="O167" i="1"/>
  <c r="O180" i="1"/>
  <c r="M167" i="1"/>
  <c r="M180" i="1"/>
  <c r="E153" i="3"/>
  <c r="H66" i="1"/>
  <c r="O264" i="1"/>
  <c r="I265" i="1"/>
  <c r="H265" i="1"/>
  <c r="L264" i="1"/>
  <c r="F16" i="3"/>
  <c r="G16" i="3"/>
  <c r="H16" i="3"/>
  <c r="I16" i="3"/>
  <c r="J16" i="3"/>
  <c r="K16" i="3"/>
  <c r="L16" i="3"/>
  <c r="E16" i="3"/>
  <c r="F678" i="3"/>
  <c r="E678" i="3"/>
  <c r="F594" i="3"/>
  <c r="G594" i="3"/>
  <c r="E594" i="3"/>
  <c r="L552" i="3"/>
  <c r="I265" i="3"/>
  <c r="J265" i="3"/>
  <c r="K265" i="3"/>
  <c r="L265" i="3"/>
  <c r="H265" i="3"/>
  <c r="G265" i="3"/>
  <c r="F237" i="3"/>
  <c r="E237" i="3"/>
  <c r="I181" i="3"/>
  <c r="J181" i="3"/>
  <c r="K181" i="3"/>
  <c r="L181" i="3"/>
  <c r="H181" i="3"/>
  <c r="G174" i="3"/>
  <c r="F174" i="3"/>
  <c r="L167" i="3"/>
  <c r="K167" i="3"/>
  <c r="J167" i="3"/>
  <c r="F118" i="3"/>
  <c r="H118" i="3"/>
  <c r="I118" i="3"/>
  <c r="J118" i="3"/>
  <c r="K118" i="3"/>
  <c r="L118" i="3"/>
  <c r="E118" i="3"/>
  <c r="F111" i="3"/>
  <c r="E111" i="3"/>
  <c r="I90" i="3"/>
  <c r="J90" i="3"/>
  <c r="K90" i="3"/>
  <c r="L90" i="3"/>
  <c r="F90" i="3"/>
  <c r="M594" i="3" l="1"/>
  <c r="P222" i="1"/>
  <c r="L204" i="1"/>
  <c r="H224" i="1"/>
  <c r="P180" i="1"/>
  <c r="H264" i="1"/>
  <c r="E671" i="3"/>
  <c r="E566" i="3"/>
  <c r="I264" i="1"/>
  <c r="F671" i="3"/>
  <c r="F699" i="3"/>
  <c r="G699" i="3"/>
  <c r="H699" i="3"/>
  <c r="I699" i="3"/>
  <c r="J699" i="3"/>
  <c r="K699" i="3"/>
  <c r="L699" i="3"/>
  <c r="P286" i="1"/>
  <c r="P285" i="1"/>
  <c r="P284" i="1"/>
  <c r="P281" i="1"/>
  <c r="J269" i="1"/>
  <c r="J268" i="1"/>
  <c r="P267" i="1" l="1"/>
  <c r="H195" i="1"/>
  <c r="J265" i="1"/>
  <c r="G678" i="3"/>
  <c r="P183" i="1"/>
  <c r="P182" i="1"/>
  <c r="J246" i="1"/>
  <c r="P245" i="1" s="1"/>
  <c r="J233" i="1"/>
  <c r="J227" i="1" s="1"/>
  <c r="I233" i="1"/>
  <c r="J217" i="1"/>
  <c r="P216" i="1" s="1"/>
  <c r="J213" i="1"/>
  <c r="P201" i="1"/>
  <c r="P212" i="1" l="1"/>
  <c r="J207" i="1"/>
  <c r="J205" i="1" s="1"/>
  <c r="I227" i="1"/>
  <c r="P232" i="1"/>
  <c r="J264" i="1"/>
  <c r="G671" i="3"/>
  <c r="P265" i="1"/>
  <c r="J244" i="1"/>
  <c r="P283" i="1"/>
  <c r="M699" i="3" s="1"/>
  <c r="E699" i="3"/>
  <c r="J204" i="1" l="1"/>
  <c r="P198" i="1"/>
  <c r="P244" i="1"/>
  <c r="P227" i="1"/>
  <c r="J161" i="1" l="1"/>
  <c r="P161" i="1" s="1"/>
  <c r="L17" i="1" l="1"/>
  <c r="M17" i="1"/>
  <c r="N17" i="1"/>
  <c r="O17" i="1"/>
  <c r="K17" i="1"/>
  <c r="L14" i="1"/>
  <c r="M14" i="1"/>
  <c r="N14" i="1"/>
  <c r="O14" i="1"/>
  <c r="H370" i="3"/>
  <c r="P122" i="1"/>
  <c r="I126" i="1"/>
  <c r="J126" i="1"/>
  <c r="K126" i="1"/>
  <c r="L126" i="1"/>
  <c r="M126" i="1"/>
  <c r="N126" i="1"/>
  <c r="O126" i="1"/>
  <c r="H126" i="1"/>
  <c r="M104" i="1"/>
  <c r="N104" i="1"/>
  <c r="O104" i="1"/>
  <c r="K128" i="1"/>
  <c r="K104" i="1" s="1"/>
  <c r="I127" i="1"/>
  <c r="I104" i="1" s="1"/>
  <c r="H127" i="1"/>
  <c r="K70" i="1"/>
  <c r="L70" i="1"/>
  <c r="M70" i="1"/>
  <c r="N70" i="1"/>
  <c r="O70" i="1"/>
  <c r="H70" i="1"/>
  <c r="K69" i="1"/>
  <c r="L69" i="1"/>
  <c r="I139" i="3" s="1"/>
  <c r="M69" i="1"/>
  <c r="J139" i="3" s="1"/>
  <c r="J137" i="3" s="1"/>
  <c r="N69" i="1"/>
  <c r="K139" i="3" s="1"/>
  <c r="K137" i="3" s="1"/>
  <c r="O69" i="1"/>
  <c r="L139" i="3" s="1"/>
  <c r="L137" i="3" s="1"/>
  <c r="H69" i="1"/>
  <c r="J70" i="1"/>
  <c r="J74" i="1"/>
  <c r="J69" i="1" s="1"/>
  <c r="I160" i="3"/>
  <c r="J160" i="3"/>
  <c r="K160" i="3"/>
  <c r="L160" i="3"/>
  <c r="P79" i="1"/>
  <c r="P17" i="1" l="1"/>
  <c r="I137" i="3"/>
  <c r="M137" i="3" s="1"/>
  <c r="M139" i="3"/>
  <c r="H104" i="1"/>
  <c r="H16" i="1" s="1"/>
  <c r="I124" i="1"/>
  <c r="F272" i="3"/>
  <c r="I102" i="1"/>
  <c r="H102" i="1"/>
  <c r="E272" i="3"/>
  <c r="H124" i="1"/>
  <c r="H100" i="1"/>
  <c r="M16" i="1"/>
  <c r="L16" i="1"/>
  <c r="K16" i="1"/>
  <c r="P125" i="1"/>
  <c r="P101" i="1"/>
  <c r="H160" i="3"/>
  <c r="O16" i="1"/>
  <c r="N16" i="1"/>
  <c r="P168" i="1"/>
  <c r="F370" i="3"/>
  <c r="P126" i="1"/>
  <c r="P50" i="1"/>
  <c r="P167" i="1" l="1"/>
  <c r="K14" i="1"/>
  <c r="K49" i="1"/>
  <c r="K41" i="1" s="1"/>
  <c r="J47" i="1"/>
  <c r="J46" i="1"/>
  <c r="P33" i="1"/>
  <c r="K39" i="1" l="1"/>
  <c r="G90" i="3"/>
  <c r="H90" i="3"/>
  <c r="M25" i="1"/>
  <c r="K24" i="1"/>
  <c r="N25" i="1"/>
  <c r="L25" i="1"/>
  <c r="O25" i="1"/>
  <c r="P45" i="1"/>
  <c r="P156" i="1"/>
  <c r="M356" i="3" s="1"/>
  <c r="F356" i="3"/>
  <c r="F354" i="3" s="1"/>
  <c r="G356" i="3"/>
  <c r="G354" i="3" s="1"/>
  <c r="H356" i="3"/>
  <c r="H354" i="3" s="1"/>
  <c r="I356" i="3"/>
  <c r="I354" i="3" s="1"/>
  <c r="J356" i="3"/>
  <c r="J354" i="3" s="1"/>
  <c r="K356" i="3"/>
  <c r="K354" i="3" s="1"/>
  <c r="L356" i="3"/>
  <c r="L354" i="3" s="1"/>
  <c r="E356" i="3"/>
  <c r="E354" i="3" s="1"/>
  <c r="M357" i="3"/>
  <c r="M355" i="3"/>
  <c r="E466" i="3"/>
  <c r="F466" i="3"/>
  <c r="G466" i="3"/>
  <c r="E461" i="3"/>
  <c r="E459" i="3" s="1"/>
  <c r="F461" i="3"/>
  <c r="F459" i="3" s="1"/>
  <c r="G461" i="3"/>
  <c r="G459" i="3" s="1"/>
  <c r="E454" i="3"/>
  <c r="E452" i="3" s="1"/>
  <c r="F454" i="3"/>
  <c r="F452" i="3" s="1"/>
  <c r="G454" i="3"/>
  <c r="G452" i="3" s="1"/>
  <c r="E447" i="3"/>
  <c r="E445" i="3" s="1"/>
  <c r="F447" i="3"/>
  <c r="F445" i="3" s="1"/>
  <c r="G447" i="3"/>
  <c r="G445" i="3" s="1"/>
  <c r="E440" i="3"/>
  <c r="E438" i="3" s="1"/>
  <c r="F440" i="3"/>
  <c r="F438" i="3" s="1"/>
  <c r="G440" i="3"/>
  <c r="G438" i="3" s="1"/>
  <c r="E433" i="3"/>
  <c r="E431" i="3" s="1"/>
  <c r="F433" i="3"/>
  <c r="F431" i="3" s="1"/>
  <c r="G433" i="3"/>
  <c r="G431" i="3" s="1"/>
  <c r="E426" i="3"/>
  <c r="E424" i="3" s="1"/>
  <c r="F426" i="3"/>
  <c r="F424" i="3" s="1"/>
  <c r="G426" i="3"/>
  <c r="G424" i="3" s="1"/>
  <c r="E419" i="3"/>
  <c r="E417" i="3" s="1"/>
  <c r="F419" i="3"/>
  <c r="F417" i="3" s="1"/>
  <c r="G419" i="3"/>
  <c r="G417" i="3" s="1"/>
  <c r="E410" i="3"/>
  <c r="F410" i="3"/>
  <c r="G410" i="3"/>
  <c r="E475" i="3"/>
  <c r="E473" i="3" s="1"/>
  <c r="F475" i="3"/>
  <c r="F473" i="3" s="1"/>
  <c r="G475" i="3"/>
  <c r="G473" i="3" s="1"/>
  <c r="K22" i="1" l="1"/>
  <c r="H20" i="3" s="1"/>
  <c r="H76" i="3"/>
  <c r="L22" i="1"/>
  <c r="L24" i="1"/>
  <c r="O22" i="1"/>
  <c r="O24" i="1"/>
  <c r="N22" i="1"/>
  <c r="N24" i="1"/>
  <c r="M22" i="1"/>
  <c r="M24" i="1"/>
  <c r="M354" i="3"/>
  <c r="L550" i="3" l="1"/>
  <c r="F720" i="3"/>
  <c r="F718" i="3" s="1"/>
  <c r="G720" i="3"/>
  <c r="G718" i="3" s="1"/>
  <c r="H720" i="3"/>
  <c r="H718" i="3" s="1"/>
  <c r="I720" i="3"/>
  <c r="I718" i="3" s="1"/>
  <c r="J720" i="3"/>
  <c r="J718" i="3" s="1"/>
  <c r="K720" i="3"/>
  <c r="K718" i="3" s="1"/>
  <c r="L720" i="3"/>
  <c r="L718" i="3" s="1"/>
  <c r="E720" i="3"/>
  <c r="E718" i="3" s="1"/>
  <c r="F713" i="3"/>
  <c r="F711" i="3" s="1"/>
  <c r="G713" i="3"/>
  <c r="G711" i="3" s="1"/>
  <c r="H713" i="3"/>
  <c r="H711" i="3" s="1"/>
  <c r="I713" i="3"/>
  <c r="I711" i="3" s="1"/>
  <c r="J713" i="3"/>
  <c r="J711" i="3" s="1"/>
  <c r="K713" i="3"/>
  <c r="K711" i="3" s="1"/>
  <c r="L713" i="3"/>
  <c r="L711" i="3" s="1"/>
  <c r="E713" i="3"/>
  <c r="E711" i="3" s="1"/>
  <c r="F706" i="3"/>
  <c r="F704" i="3" s="1"/>
  <c r="G706" i="3"/>
  <c r="G704" i="3" s="1"/>
  <c r="H706" i="3"/>
  <c r="H704" i="3" s="1"/>
  <c r="I706" i="3"/>
  <c r="I704" i="3" s="1"/>
  <c r="J706" i="3"/>
  <c r="J704" i="3" s="1"/>
  <c r="K706" i="3"/>
  <c r="K704" i="3" s="1"/>
  <c r="L706" i="3"/>
  <c r="L704" i="3" s="1"/>
  <c r="E706" i="3"/>
  <c r="E704" i="3" s="1"/>
  <c r="J697" i="3"/>
  <c r="K697" i="3"/>
  <c r="L697" i="3"/>
  <c r="F545" i="3"/>
  <c r="F543" i="3" s="1"/>
  <c r="G545" i="3"/>
  <c r="G543" i="3" s="1"/>
  <c r="H545" i="3"/>
  <c r="H543" i="3" s="1"/>
  <c r="I545" i="3"/>
  <c r="I543" i="3" s="1"/>
  <c r="J545" i="3"/>
  <c r="J543" i="3" s="1"/>
  <c r="K545" i="3"/>
  <c r="K543" i="3" s="1"/>
  <c r="L545" i="3"/>
  <c r="L543" i="3" s="1"/>
  <c r="E545" i="3"/>
  <c r="E543" i="3" s="1"/>
  <c r="G538" i="3"/>
  <c r="G536" i="3" s="1"/>
  <c r="H538" i="3"/>
  <c r="H536" i="3" s="1"/>
  <c r="I538" i="3"/>
  <c r="I536" i="3" s="1"/>
  <c r="J538" i="3"/>
  <c r="J536" i="3" s="1"/>
  <c r="K538" i="3"/>
  <c r="K536" i="3" s="1"/>
  <c r="L538" i="3"/>
  <c r="L536" i="3" s="1"/>
  <c r="E538" i="3"/>
  <c r="E536" i="3" s="1"/>
  <c r="E643" i="3"/>
  <c r="E641" i="3" s="1"/>
  <c r="F636" i="3"/>
  <c r="F634" i="3" s="1"/>
  <c r="H636" i="3"/>
  <c r="H634" i="3" s="1"/>
  <c r="I636" i="3"/>
  <c r="I634" i="3" s="1"/>
  <c r="J636" i="3"/>
  <c r="J634" i="3" s="1"/>
  <c r="K636" i="3"/>
  <c r="K634" i="3" s="1"/>
  <c r="L636" i="3"/>
  <c r="L634" i="3" s="1"/>
  <c r="E636" i="3"/>
  <c r="E634" i="3" s="1"/>
  <c r="H629" i="3"/>
  <c r="H627" i="3" s="1"/>
  <c r="I629" i="3"/>
  <c r="I627" i="3" s="1"/>
  <c r="J629" i="3"/>
  <c r="J627" i="3" s="1"/>
  <c r="K629" i="3"/>
  <c r="K627" i="3" s="1"/>
  <c r="L629" i="3"/>
  <c r="L627" i="3" s="1"/>
  <c r="E629" i="3"/>
  <c r="E627" i="3" s="1"/>
  <c r="F685" i="3"/>
  <c r="F683" i="3" s="1"/>
  <c r="G685" i="3"/>
  <c r="G683" i="3" s="1"/>
  <c r="H685" i="3"/>
  <c r="H683" i="3" s="1"/>
  <c r="I685" i="3"/>
  <c r="I683" i="3" s="1"/>
  <c r="J685" i="3"/>
  <c r="J683" i="3" s="1"/>
  <c r="K685" i="3"/>
  <c r="K683" i="3" s="1"/>
  <c r="L685" i="3"/>
  <c r="L683" i="3" s="1"/>
  <c r="E685" i="3"/>
  <c r="E683" i="3" s="1"/>
  <c r="F676" i="3"/>
  <c r="I676" i="3"/>
  <c r="J676" i="3"/>
  <c r="E676" i="3"/>
  <c r="B655" i="3"/>
  <c r="F657" i="3"/>
  <c r="F655" i="3" s="1"/>
  <c r="G657" i="3"/>
  <c r="G655" i="3" s="1"/>
  <c r="H657" i="3"/>
  <c r="H655" i="3" s="1"/>
  <c r="I657" i="3"/>
  <c r="I655" i="3" s="1"/>
  <c r="J657" i="3"/>
  <c r="J655" i="3" s="1"/>
  <c r="K657" i="3"/>
  <c r="K655" i="3" s="1"/>
  <c r="L657" i="3"/>
  <c r="L655" i="3" s="1"/>
  <c r="E657" i="3"/>
  <c r="E655" i="3" s="1"/>
  <c r="M657" i="3"/>
  <c r="F650" i="3"/>
  <c r="F648" i="3" s="1"/>
  <c r="G650" i="3"/>
  <c r="G648" i="3" s="1"/>
  <c r="I648" i="3"/>
  <c r="J648" i="3"/>
  <c r="K648" i="3"/>
  <c r="L648" i="3"/>
  <c r="E650" i="3"/>
  <c r="E648" i="3" s="1"/>
  <c r="F615" i="3"/>
  <c r="F613" i="3" s="1"/>
  <c r="G615" i="3"/>
  <c r="G613" i="3" s="1"/>
  <c r="H615" i="3"/>
  <c r="H613" i="3" s="1"/>
  <c r="I615" i="3"/>
  <c r="J615" i="3"/>
  <c r="K615" i="3"/>
  <c r="L615" i="3"/>
  <c r="E615" i="3"/>
  <c r="E613" i="3" s="1"/>
  <c r="F608" i="3"/>
  <c r="F606" i="3" s="1"/>
  <c r="H608" i="3"/>
  <c r="H606" i="3" s="1"/>
  <c r="I606" i="3"/>
  <c r="J606" i="3"/>
  <c r="K606" i="3"/>
  <c r="L606" i="3"/>
  <c r="E608" i="3"/>
  <c r="E606" i="3" s="1"/>
  <c r="F592" i="3"/>
  <c r="G592" i="3"/>
  <c r="H592" i="3"/>
  <c r="E592" i="3"/>
  <c r="H587" i="3"/>
  <c r="H585" i="3" s="1"/>
  <c r="E587" i="3"/>
  <c r="E585" i="3" s="1"/>
  <c r="F580" i="3"/>
  <c r="F578" i="3" s="1"/>
  <c r="G580" i="3"/>
  <c r="G578" i="3" s="1"/>
  <c r="H580" i="3"/>
  <c r="H578" i="3" s="1"/>
  <c r="I580" i="3"/>
  <c r="I578" i="3" s="1"/>
  <c r="J580" i="3"/>
  <c r="J578" i="3" s="1"/>
  <c r="K580" i="3"/>
  <c r="K578" i="3" s="1"/>
  <c r="L580" i="3"/>
  <c r="L578" i="3" s="1"/>
  <c r="E580" i="3"/>
  <c r="E578" i="3" s="1"/>
  <c r="K573" i="3"/>
  <c r="K571" i="3" s="1"/>
  <c r="L573" i="3"/>
  <c r="L571" i="3" s="1"/>
  <c r="F531" i="3"/>
  <c r="F529" i="3" s="1"/>
  <c r="H531" i="3"/>
  <c r="H529" i="3" s="1"/>
  <c r="I531" i="3"/>
  <c r="I529" i="3" s="1"/>
  <c r="J531" i="3"/>
  <c r="J529" i="3" s="1"/>
  <c r="K531" i="3"/>
  <c r="K529" i="3" s="1"/>
  <c r="L531" i="3"/>
  <c r="L529" i="3" s="1"/>
  <c r="E531" i="3"/>
  <c r="E529" i="3" s="1"/>
  <c r="F524" i="3"/>
  <c r="F522" i="3" s="1"/>
  <c r="H524" i="3"/>
  <c r="H522" i="3" s="1"/>
  <c r="L524" i="3"/>
  <c r="L522" i="3" s="1"/>
  <c r="E524" i="3"/>
  <c r="E522" i="3" s="1"/>
  <c r="H517" i="3"/>
  <c r="H515" i="3" s="1"/>
  <c r="L517" i="3"/>
  <c r="L515" i="3" s="1"/>
  <c r="E517" i="3"/>
  <c r="E515" i="3" s="1"/>
  <c r="M509" i="3"/>
  <c r="F496" i="3"/>
  <c r="F494" i="3" s="1"/>
  <c r="G496" i="3"/>
  <c r="G494" i="3" s="1"/>
  <c r="H496" i="3"/>
  <c r="H494" i="3" s="1"/>
  <c r="I496" i="3"/>
  <c r="I494" i="3" s="1"/>
  <c r="J496" i="3"/>
  <c r="J494" i="3" s="1"/>
  <c r="K496" i="3"/>
  <c r="K494" i="3" s="1"/>
  <c r="L496" i="3"/>
  <c r="L494" i="3" s="1"/>
  <c r="E496" i="3"/>
  <c r="E494" i="3" s="1"/>
  <c r="M446" i="3"/>
  <c r="I447" i="3"/>
  <c r="J447" i="3"/>
  <c r="K447" i="3"/>
  <c r="L447" i="3"/>
  <c r="H447" i="3"/>
  <c r="E265" i="3"/>
  <c r="I174" i="3"/>
  <c r="J174" i="3"/>
  <c r="K174" i="3"/>
  <c r="L174" i="3"/>
  <c r="H174" i="3"/>
  <c r="F104" i="3"/>
  <c r="G104" i="3"/>
  <c r="H104" i="3"/>
  <c r="I104" i="3"/>
  <c r="J104" i="3"/>
  <c r="K104" i="3"/>
  <c r="L104" i="3"/>
  <c r="E104" i="3"/>
  <c r="M655" i="3" l="1"/>
  <c r="M613" i="3"/>
  <c r="M447" i="3"/>
  <c r="M718" i="3"/>
  <c r="M711" i="3"/>
  <c r="M704" i="3"/>
  <c r="M543" i="3"/>
  <c r="M683" i="3"/>
  <c r="M598" i="3"/>
  <c r="M597" i="3"/>
  <c r="M596" i="3"/>
  <c r="M595" i="3"/>
  <c r="M578" i="3"/>
  <c r="P133" i="1" l="1"/>
  <c r="P121" i="1"/>
  <c r="P120" i="1"/>
  <c r="M720" i="3"/>
  <c r="M713" i="3"/>
  <c r="M706" i="3"/>
  <c r="P221" i="1"/>
  <c r="M545" i="3" s="1"/>
  <c r="I220" i="1"/>
  <c r="I205" i="1" s="1"/>
  <c r="I204" i="1" s="1"/>
  <c r="O256" i="1"/>
  <c r="N256" i="1"/>
  <c r="M256" i="1"/>
  <c r="L256" i="1"/>
  <c r="K256" i="1"/>
  <c r="K253" i="1" s="1"/>
  <c r="J256" i="1"/>
  <c r="G643" i="3" s="1"/>
  <c r="G641" i="3" s="1"/>
  <c r="I256" i="1"/>
  <c r="F643" i="3" s="1"/>
  <c r="F641" i="3" s="1"/>
  <c r="J255" i="1"/>
  <c r="J254" i="1"/>
  <c r="I254" i="1"/>
  <c r="E622" i="3"/>
  <c r="P134" i="1"/>
  <c r="M293" i="3" s="1"/>
  <c r="K197" i="1" l="1"/>
  <c r="G503" i="3"/>
  <c r="M253" i="1"/>
  <c r="M224" i="1" s="1"/>
  <c r="M195" i="1" s="1"/>
  <c r="O253" i="1"/>
  <c r="O224" i="1" s="1"/>
  <c r="O195" i="1" s="1"/>
  <c r="N253" i="1"/>
  <c r="N224" i="1" s="1"/>
  <c r="N195" i="1" s="1"/>
  <c r="I196" i="1"/>
  <c r="E552" i="3"/>
  <c r="J253" i="1"/>
  <c r="J225" i="1" s="1"/>
  <c r="F629" i="3"/>
  <c r="F627" i="3" s="1"/>
  <c r="I253" i="1"/>
  <c r="I225" i="1" s="1"/>
  <c r="I643" i="3"/>
  <c r="I641" i="3" s="1"/>
  <c r="L253" i="1"/>
  <c r="L224" i="1" s="1"/>
  <c r="L195" i="1" s="1"/>
  <c r="H697" i="3"/>
  <c r="H552" i="3"/>
  <c r="H550" i="3" s="1"/>
  <c r="I697" i="3"/>
  <c r="F697" i="3"/>
  <c r="F552" i="3"/>
  <c r="F550" i="3" s="1"/>
  <c r="G697" i="3"/>
  <c r="G552" i="3"/>
  <c r="G550" i="3" s="1"/>
  <c r="G629" i="3"/>
  <c r="G627" i="3" s="1"/>
  <c r="M627" i="3" s="1"/>
  <c r="E697" i="3"/>
  <c r="H643" i="3"/>
  <c r="H641" i="3" s="1"/>
  <c r="J643" i="3"/>
  <c r="J641" i="3" s="1"/>
  <c r="L643" i="3"/>
  <c r="L641" i="3" s="1"/>
  <c r="E620" i="3"/>
  <c r="P255" i="1"/>
  <c r="M636" i="3" s="1"/>
  <c r="G636" i="3"/>
  <c r="G634" i="3" s="1"/>
  <c r="M634" i="3" s="1"/>
  <c r="K643" i="3"/>
  <c r="K641" i="3" s="1"/>
  <c r="P219" i="1"/>
  <c r="M538" i="3" s="1"/>
  <c r="F538" i="3"/>
  <c r="F536" i="3" s="1"/>
  <c r="M536" i="3" s="1"/>
  <c r="P254" i="1"/>
  <c r="P256" i="1"/>
  <c r="M643" i="3" s="1"/>
  <c r="E550" i="3" l="1"/>
  <c r="M552" i="3"/>
  <c r="I224" i="1"/>
  <c r="I195" i="1" s="1"/>
  <c r="P225" i="1"/>
  <c r="J224" i="1"/>
  <c r="J195" i="1" s="1"/>
  <c r="J196" i="1"/>
  <c r="P196" i="1"/>
  <c r="F503" i="3"/>
  <c r="M629" i="3"/>
  <c r="P205" i="1"/>
  <c r="E503" i="3"/>
  <c r="H18" i="1"/>
  <c r="N18" i="1"/>
  <c r="O18" i="1"/>
  <c r="M18" i="1"/>
  <c r="I622" i="3"/>
  <c r="I620" i="3" s="1"/>
  <c r="M550" i="3"/>
  <c r="M697" i="3"/>
  <c r="L622" i="3"/>
  <c r="L620" i="3" s="1"/>
  <c r="J622" i="3"/>
  <c r="J620" i="3" s="1"/>
  <c r="H622" i="3"/>
  <c r="H620" i="3" s="1"/>
  <c r="G622" i="3"/>
  <c r="G620" i="3" s="1"/>
  <c r="F622" i="3"/>
  <c r="F620" i="3" s="1"/>
  <c r="K622" i="3"/>
  <c r="K620" i="3" s="1"/>
  <c r="M641" i="3"/>
  <c r="J18" i="1" l="1"/>
  <c r="F566" i="3"/>
  <c r="I18" i="1"/>
  <c r="G566" i="3"/>
  <c r="L18" i="1"/>
  <c r="P253" i="1"/>
  <c r="M622" i="3" s="1"/>
  <c r="M620" i="3"/>
  <c r="M615" i="3"/>
  <c r="G601" i="3"/>
  <c r="G599" i="3" s="1"/>
  <c r="L601" i="3"/>
  <c r="L599" i="3" s="1"/>
  <c r="K601" i="3"/>
  <c r="K599" i="3" s="1"/>
  <c r="J601" i="3"/>
  <c r="J599" i="3" s="1"/>
  <c r="I601" i="3"/>
  <c r="I599" i="3" s="1"/>
  <c r="H601" i="3"/>
  <c r="H599" i="3" s="1"/>
  <c r="F601" i="3"/>
  <c r="F599" i="3" s="1"/>
  <c r="E601" i="3"/>
  <c r="E599" i="3" s="1"/>
  <c r="M580" i="3"/>
  <c r="K566" i="3" l="1"/>
  <c r="K564" i="3" s="1"/>
  <c r="L566" i="3"/>
  <c r="L564" i="3" s="1"/>
  <c r="I573" i="3"/>
  <c r="I571" i="3" s="1"/>
  <c r="I566" i="3"/>
  <c r="I564" i="3" s="1"/>
  <c r="H573" i="3"/>
  <c r="H571" i="3" s="1"/>
  <c r="H566" i="3"/>
  <c r="H564" i="3" s="1"/>
  <c r="J573" i="3"/>
  <c r="J571" i="3" s="1"/>
  <c r="J566" i="3"/>
  <c r="J564" i="3" s="1"/>
  <c r="M599" i="3"/>
  <c r="E564" i="3"/>
  <c r="E573" i="3"/>
  <c r="E571" i="3" s="1"/>
  <c r="G587" i="3"/>
  <c r="G585" i="3" s="1"/>
  <c r="M608" i="3"/>
  <c r="G608" i="3"/>
  <c r="G606" i="3" s="1"/>
  <c r="M606" i="3" s="1"/>
  <c r="M650" i="3"/>
  <c r="H650" i="3"/>
  <c r="H648" i="3" s="1"/>
  <c r="M648" i="3" s="1"/>
  <c r="M587" i="3"/>
  <c r="F587" i="3"/>
  <c r="F585" i="3" s="1"/>
  <c r="M601" i="3"/>
  <c r="J671" i="3"/>
  <c r="J669" i="3" s="1"/>
  <c r="I671" i="3"/>
  <c r="I669" i="3" s="1"/>
  <c r="F669" i="3"/>
  <c r="E669" i="3"/>
  <c r="E510" i="3"/>
  <c r="E508" i="3" s="1"/>
  <c r="G517" i="3"/>
  <c r="G515" i="3" s="1"/>
  <c r="L489" i="3"/>
  <c r="L487" i="3" s="1"/>
  <c r="K489" i="3"/>
  <c r="K487" i="3" s="1"/>
  <c r="J489" i="3"/>
  <c r="J487" i="3" s="1"/>
  <c r="I489" i="3"/>
  <c r="I487" i="3" s="1"/>
  <c r="H489" i="3"/>
  <c r="H487" i="3" s="1"/>
  <c r="G487" i="3"/>
  <c r="F487" i="3"/>
  <c r="E487" i="3"/>
  <c r="M685" i="3"/>
  <c r="M592" i="3" l="1"/>
  <c r="G573" i="3"/>
  <c r="G571" i="3" s="1"/>
  <c r="G564" i="3"/>
  <c r="F564" i="3"/>
  <c r="M585" i="3"/>
  <c r="M487" i="3"/>
  <c r="M489" i="3"/>
  <c r="M496" i="3"/>
  <c r="M531" i="3"/>
  <c r="G531" i="3"/>
  <c r="G529" i="3" s="1"/>
  <c r="M529" i="3" s="1"/>
  <c r="H503" i="3"/>
  <c r="H501" i="3" s="1"/>
  <c r="H510" i="3"/>
  <c r="H508" i="3" s="1"/>
  <c r="J503" i="3"/>
  <c r="J501" i="3" s="1"/>
  <c r="J510" i="3"/>
  <c r="J508" i="3" s="1"/>
  <c r="L503" i="3"/>
  <c r="L501" i="3" s="1"/>
  <c r="L510" i="3"/>
  <c r="L508" i="3" s="1"/>
  <c r="G676" i="3"/>
  <c r="L671" i="3"/>
  <c r="L669" i="3" s="1"/>
  <c r="L676" i="3"/>
  <c r="H671" i="3"/>
  <c r="H669" i="3" s="1"/>
  <c r="H678" i="3"/>
  <c r="F573" i="3"/>
  <c r="F571" i="3" s="1"/>
  <c r="F517" i="3"/>
  <c r="F515" i="3" s="1"/>
  <c r="M515" i="3" s="1"/>
  <c r="M524" i="3"/>
  <c r="G524" i="3"/>
  <c r="G522" i="3" s="1"/>
  <c r="M522" i="3" s="1"/>
  <c r="I503" i="3"/>
  <c r="I501" i="3" s="1"/>
  <c r="I510" i="3"/>
  <c r="I508" i="3" s="1"/>
  <c r="K503" i="3"/>
  <c r="K501" i="3" s="1"/>
  <c r="K510" i="3"/>
  <c r="K508" i="3" s="1"/>
  <c r="K671" i="3"/>
  <c r="K669" i="3" s="1"/>
  <c r="K676" i="3"/>
  <c r="M573" i="3"/>
  <c r="E501" i="3"/>
  <c r="M517" i="3"/>
  <c r="H676" i="3" l="1"/>
  <c r="M676" i="3" s="1"/>
  <c r="M678" i="3"/>
  <c r="P224" i="1"/>
  <c r="M566" i="3" s="1"/>
  <c r="M571" i="3"/>
  <c r="L482" i="3"/>
  <c r="L480" i="3" s="1"/>
  <c r="K482" i="3"/>
  <c r="G501" i="3"/>
  <c r="G510" i="3"/>
  <c r="G508" i="3" s="1"/>
  <c r="F510" i="3"/>
  <c r="F508" i="3" s="1"/>
  <c r="P264" i="1"/>
  <c r="M671" i="3" s="1"/>
  <c r="G669" i="3"/>
  <c r="P207" i="1"/>
  <c r="M510" i="3" s="1"/>
  <c r="K480" i="3" l="1"/>
  <c r="E482" i="3"/>
  <c r="E480" i="3" s="1"/>
  <c r="I482" i="3"/>
  <c r="P204" i="1"/>
  <c r="J482" i="3"/>
  <c r="H482" i="3"/>
  <c r="H480" i="3" s="1"/>
  <c r="F501" i="3"/>
  <c r="J177" i="1"/>
  <c r="J55" i="1"/>
  <c r="P55" i="1" s="1"/>
  <c r="J57" i="1"/>
  <c r="G118" i="3" s="1"/>
  <c r="M503" i="3" l="1"/>
  <c r="J480" i="3"/>
  <c r="I480" i="3"/>
  <c r="J173" i="1"/>
  <c r="G482" i="3"/>
  <c r="G480" i="3" s="1"/>
  <c r="P195" i="1"/>
  <c r="P176" i="1"/>
  <c r="M405" i="3" s="1"/>
  <c r="F482" i="3"/>
  <c r="F480" i="3" s="1"/>
  <c r="M482" i="3" l="1"/>
  <c r="J172" i="1"/>
  <c r="P172" i="1" s="1"/>
  <c r="P173" i="1"/>
  <c r="G398" i="3"/>
  <c r="J170" i="1"/>
  <c r="K370" i="3" l="1"/>
  <c r="F33" i="3" l="1"/>
  <c r="F26" i="3" s="1"/>
  <c r="G33" i="3"/>
  <c r="G26" i="3" s="1"/>
  <c r="H33" i="3"/>
  <c r="H26" i="3" s="1"/>
  <c r="I33" i="3"/>
  <c r="I26" i="3" s="1"/>
  <c r="J33" i="3"/>
  <c r="J26" i="3" s="1"/>
  <c r="K33" i="3"/>
  <c r="K26" i="3" s="1"/>
  <c r="L33" i="3"/>
  <c r="L26" i="3" s="1"/>
  <c r="E33" i="3"/>
  <c r="E26" i="3" s="1"/>
  <c r="E399" i="3"/>
  <c r="F399" i="3"/>
  <c r="F392" i="3" s="1"/>
  <c r="G399" i="3"/>
  <c r="G392" i="3" s="1"/>
  <c r="M406" i="3"/>
  <c r="E405" i="3"/>
  <c r="F405" i="3"/>
  <c r="G405" i="3"/>
  <c r="G403" i="3" s="1"/>
  <c r="M399" i="3" l="1"/>
  <c r="M26" i="3"/>
  <c r="M33" i="3"/>
  <c r="E392" i="3"/>
  <c r="M392" i="3" s="1"/>
  <c r="F403" i="3"/>
  <c r="E403" i="3"/>
  <c r="H165" i="1" l="1"/>
  <c r="I165" i="1"/>
  <c r="F391" i="3" s="1"/>
  <c r="F389" i="3" s="1"/>
  <c r="J165" i="1"/>
  <c r="G391" i="3" s="1"/>
  <c r="G389" i="3" s="1"/>
  <c r="I416" i="3"/>
  <c r="J416" i="3"/>
  <c r="K416" i="3"/>
  <c r="L416" i="3"/>
  <c r="H416" i="3"/>
  <c r="E362" i="3"/>
  <c r="F362" i="3"/>
  <c r="H362" i="3"/>
  <c r="I362" i="3"/>
  <c r="J362" i="3"/>
  <c r="K362" i="3"/>
  <c r="L362" i="3"/>
  <c r="F231" i="3"/>
  <c r="G231" i="3"/>
  <c r="E231" i="3"/>
  <c r="I76" i="3"/>
  <c r="J76" i="3"/>
  <c r="K76" i="3"/>
  <c r="L76" i="3"/>
  <c r="E77" i="3"/>
  <c r="E21" i="3" s="1"/>
  <c r="F75" i="3"/>
  <c r="F19" i="3" s="1"/>
  <c r="G75" i="3"/>
  <c r="G19" i="3" s="1"/>
  <c r="H75" i="3"/>
  <c r="H19" i="3" s="1"/>
  <c r="I75" i="3"/>
  <c r="I19" i="3" s="1"/>
  <c r="J75" i="3"/>
  <c r="J19" i="3" s="1"/>
  <c r="K75" i="3"/>
  <c r="K19" i="3" s="1"/>
  <c r="L75" i="3"/>
  <c r="L19" i="3" s="1"/>
  <c r="E75" i="3"/>
  <c r="E19" i="3" s="1"/>
  <c r="M35" i="3"/>
  <c r="G34" i="3"/>
  <c r="G32" i="3" s="1"/>
  <c r="G25" i="3"/>
  <c r="E391" i="3" l="1"/>
  <c r="E389" i="3" s="1"/>
  <c r="M416" i="3"/>
  <c r="G396" i="3"/>
  <c r="J20" i="1"/>
  <c r="F396" i="3"/>
  <c r="E396" i="3"/>
  <c r="H20" i="1"/>
  <c r="E74" i="3"/>
  <c r="M19" i="3"/>
  <c r="M75" i="3"/>
  <c r="K192" i="1"/>
  <c r="K166" i="1" s="1"/>
  <c r="L192" i="1"/>
  <c r="L165" i="1" s="1"/>
  <c r="M192" i="1"/>
  <c r="M166" i="1" s="1"/>
  <c r="N192" i="1"/>
  <c r="N166" i="1" s="1"/>
  <c r="O192" i="1"/>
  <c r="O166" i="1" s="1"/>
  <c r="I412" i="3"/>
  <c r="I410" i="3" s="1"/>
  <c r="K412" i="3"/>
  <c r="K410" i="3" s="1"/>
  <c r="L412" i="3"/>
  <c r="L410" i="3" s="1"/>
  <c r="H412" i="3"/>
  <c r="H410" i="3" s="1"/>
  <c r="E326" i="3"/>
  <c r="H21" i="1"/>
  <c r="K136" i="1"/>
  <c r="L136" i="1"/>
  <c r="M136" i="1"/>
  <c r="N136" i="1"/>
  <c r="O136" i="1"/>
  <c r="F270" i="3"/>
  <c r="K124" i="1"/>
  <c r="H272" i="3" s="1"/>
  <c r="H270" i="3" s="1"/>
  <c r="I270" i="3"/>
  <c r="J272" i="3"/>
  <c r="J270" i="3" s="1"/>
  <c r="K272" i="3"/>
  <c r="K270" i="3" s="1"/>
  <c r="L272" i="3"/>
  <c r="L270" i="3" s="1"/>
  <c r="E270" i="3"/>
  <c r="M92" i="1"/>
  <c r="N92" i="1"/>
  <c r="O92" i="1"/>
  <c r="I97" i="1"/>
  <c r="K92" i="1"/>
  <c r="L92" i="1"/>
  <c r="H153" i="3"/>
  <c r="H151" i="3" s="1"/>
  <c r="J153" i="3"/>
  <c r="J151" i="3" s="1"/>
  <c r="L153" i="3"/>
  <c r="L151" i="3" s="1"/>
  <c r="E34" i="3"/>
  <c r="I93" i="1" l="1"/>
  <c r="P166" i="1"/>
  <c r="L468" i="3"/>
  <c r="L466" i="3" s="1"/>
  <c r="H468" i="3"/>
  <c r="H466" i="3" s="1"/>
  <c r="K468" i="3"/>
  <c r="K466" i="3" s="1"/>
  <c r="J468" i="3"/>
  <c r="J466" i="3" s="1"/>
  <c r="I468" i="3"/>
  <c r="I466" i="3" s="1"/>
  <c r="E32" i="3"/>
  <c r="K398" i="3"/>
  <c r="K396" i="3" s="1"/>
  <c r="N171" i="1"/>
  <c r="N20" i="1" s="1"/>
  <c r="J398" i="3"/>
  <c r="J396" i="3" s="1"/>
  <c r="M171" i="1"/>
  <c r="M20" i="1" s="1"/>
  <c r="I398" i="3"/>
  <c r="I396" i="3" s="1"/>
  <c r="L20" i="1"/>
  <c r="L398" i="3"/>
  <c r="L396" i="3" s="1"/>
  <c r="O171" i="1"/>
  <c r="O20" i="1" s="1"/>
  <c r="H398" i="3"/>
  <c r="H396" i="3" s="1"/>
  <c r="K171" i="1"/>
  <c r="E228" i="3"/>
  <c r="H15" i="1"/>
  <c r="I307" i="3"/>
  <c r="I305" i="3" s="1"/>
  <c r="L21" i="1"/>
  <c r="F228" i="3"/>
  <c r="I15" i="1"/>
  <c r="L307" i="3"/>
  <c r="L305" i="3" s="1"/>
  <c r="O21" i="1"/>
  <c r="H307" i="3"/>
  <c r="H305" i="3" s="1"/>
  <c r="K21" i="1"/>
  <c r="J307" i="3"/>
  <c r="J305" i="3" s="1"/>
  <c r="M21" i="1"/>
  <c r="K307" i="3"/>
  <c r="K305" i="3" s="1"/>
  <c r="N21" i="1"/>
  <c r="E305" i="3"/>
  <c r="I34" i="3"/>
  <c r="I32" i="3" s="1"/>
  <c r="N165" i="1"/>
  <c r="K391" i="3" s="1"/>
  <c r="I391" i="3"/>
  <c r="I389" i="3" s="1"/>
  <c r="K34" i="3"/>
  <c r="K32" i="3" s="1"/>
  <c r="L34" i="3"/>
  <c r="L32" i="3" s="1"/>
  <c r="J34" i="3"/>
  <c r="J32" i="3" s="1"/>
  <c r="H34" i="3"/>
  <c r="H32" i="3" s="1"/>
  <c r="E146" i="3"/>
  <c r="E144" i="3" s="1"/>
  <c r="E151" i="3"/>
  <c r="N66" i="1"/>
  <c r="K146" i="3" s="1"/>
  <c r="K144" i="3" s="1"/>
  <c r="K153" i="3"/>
  <c r="K151" i="3" s="1"/>
  <c r="L66" i="1"/>
  <c r="I146" i="3" s="1"/>
  <c r="I144" i="3" s="1"/>
  <c r="I153" i="3"/>
  <c r="I151" i="3" s="1"/>
  <c r="K66" i="1"/>
  <c r="H146" i="3" s="1"/>
  <c r="O66" i="1"/>
  <c r="L146" i="3" s="1"/>
  <c r="L144" i="3" s="1"/>
  <c r="M66" i="1"/>
  <c r="J146" i="3" s="1"/>
  <c r="J144" i="3" s="1"/>
  <c r="O165" i="1"/>
  <c r="L391" i="3" s="1"/>
  <c r="M165" i="1"/>
  <c r="J391" i="3" s="1"/>
  <c r="K165" i="1"/>
  <c r="M412" i="3"/>
  <c r="J412" i="3"/>
  <c r="J410" i="3" s="1"/>
  <c r="M410" i="3" s="1"/>
  <c r="H144" i="3" l="1"/>
  <c r="H391" i="3"/>
  <c r="H389" i="3" s="1"/>
  <c r="P165" i="1"/>
  <c r="K20" i="1"/>
  <c r="P170" i="1"/>
  <c r="P93" i="1"/>
  <c r="M466" i="3"/>
  <c r="M468" i="3"/>
  <c r="J27" i="3"/>
  <c r="J25" i="3" s="1"/>
  <c r="K27" i="3"/>
  <c r="K25" i="3" s="1"/>
  <c r="H27" i="3"/>
  <c r="H25" i="3" s="1"/>
  <c r="L27" i="3"/>
  <c r="L25" i="3" s="1"/>
  <c r="I27" i="3"/>
  <c r="I25" i="3" s="1"/>
  <c r="M396" i="3"/>
  <c r="E25" i="3" l="1"/>
  <c r="J300" i="3"/>
  <c r="J298" i="3" s="1"/>
  <c r="K300" i="3"/>
  <c r="K298" i="3" s="1"/>
  <c r="L300" i="3"/>
  <c r="L298" i="3" s="1"/>
  <c r="J293" i="3"/>
  <c r="J291" i="3" s="1"/>
  <c r="K293" i="3"/>
  <c r="K291" i="3" s="1"/>
  <c r="L293" i="3"/>
  <c r="L291" i="3" s="1"/>
  <c r="J461" i="3"/>
  <c r="J459" i="3" s="1"/>
  <c r="K461" i="3"/>
  <c r="K459" i="3" s="1"/>
  <c r="L461" i="3"/>
  <c r="L459" i="3" s="1"/>
  <c r="J454" i="3"/>
  <c r="J452" i="3" s="1"/>
  <c r="K454" i="3"/>
  <c r="K452" i="3" s="1"/>
  <c r="L454" i="3"/>
  <c r="L452" i="3" s="1"/>
  <c r="J445" i="3"/>
  <c r="K445" i="3"/>
  <c r="L445" i="3"/>
  <c r="J440" i="3"/>
  <c r="J438" i="3" s="1"/>
  <c r="K440" i="3"/>
  <c r="K438" i="3" s="1"/>
  <c r="L440" i="3"/>
  <c r="L438" i="3" s="1"/>
  <c r="J475" i="3"/>
  <c r="J473" i="3" s="1"/>
  <c r="K475" i="3"/>
  <c r="K473" i="3" s="1"/>
  <c r="L475" i="3"/>
  <c r="L473" i="3" s="1"/>
  <c r="J433" i="3"/>
  <c r="J431" i="3" s="1"/>
  <c r="K433" i="3"/>
  <c r="K431" i="3" s="1"/>
  <c r="L433" i="3"/>
  <c r="L431" i="3" s="1"/>
  <c r="J426" i="3"/>
  <c r="J424" i="3" s="1"/>
  <c r="K426" i="3"/>
  <c r="K424" i="3" s="1"/>
  <c r="L426" i="3"/>
  <c r="L424" i="3" s="1"/>
  <c r="J419" i="3"/>
  <c r="J417" i="3" s="1"/>
  <c r="K419" i="3"/>
  <c r="K417" i="3" s="1"/>
  <c r="L419" i="3"/>
  <c r="L417" i="3" s="1"/>
  <c r="J403" i="3"/>
  <c r="K403" i="3"/>
  <c r="L403" i="3"/>
  <c r="J340" i="3"/>
  <c r="K340" i="3"/>
  <c r="L340" i="3"/>
  <c r="J263" i="3"/>
  <c r="K263" i="3"/>
  <c r="L263" i="3"/>
  <c r="J314" i="3"/>
  <c r="J312" i="3" s="1"/>
  <c r="K314" i="3"/>
  <c r="K312" i="3" s="1"/>
  <c r="L314" i="3"/>
  <c r="L312" i="3" s="1"/>
  <c r="J258" i="3"/>
  <c r="J256" i="3" s="1"/>
  <c r="K258" i="3"/>
  <c r="K256" i="3" s="1"/>
  <c r="L258" i="3"/>
  <c r="L256" i="3" s="1"/>
  <c r="J251" i="3"/>
  <c r="J249" i="3" s="1"/>
  <c r="K251" i="3"/>
  <c r="K249" i="3" s="1"/>
  <c r="L251" i="3"/>
  <c r="L249" i="3" s="1"/>
  <c r="J286" i="3"/>
  <c r="J284" i="3" s="1"/>
  <c r="K286" i="3"/>
  <c r="K284" i="3" s="1"/>
  <c r="L286" i="3"/>
  <c r="L284" i="3" s="1"/>
  <c r="M119" i="1"/>
  <c r="N119" i="1"/>
  <c r="O119" i="1"/>
  <c r="M115" i="1"/>
  <c r="N115" i="1"/>
  <c r="O115" i="1"/>
  <c r="M114" i="1"/>
  <c r="N114" i="1"/>
  <c r="O114" i="1"/>
  <c r="J195" i="3"/>
  <c r="J193" i="3" s="1"/>
  <c r="K195" i="3"/>
  <c r="K193" i="3" s="1"/>
  <c r="L195" i="3"/>
  <c r="L193" i="3" s="1"/>
  <c r="J216" i="3"/>
  <c r="J214" i="3" s="1"/>
  <c r="K216" i="3"/>
  <c r="K214" i="3" s="1"/>
  <c r="L216" i="3"/>
  <c r="L214" i="3" s="1"/>
  <c r="J209" i="3"/>
  <c r="J207" i="3" s="1"/>
  <c r="K209" i="3"/>
  <c r="K207" i="3" s="1"/>
  <c r="L209" i="3"/>
  <c r="L207" i="3" s="1"/>
  <c r="J202" i="3"/>
  <c r="K202" i="3"/>
  <c r="L202" i="3"/>
  <c r="J188" i="3"/>
  <c r="J186" i="3" s="1"/>
  <c r="K188" i="3"/>
  <c r="K186" i="3" s="1"/>
  <c r="L188" i="3"/>
  <c r="L186" i="3" s="1"/>
  <c r="J179" i="3"/>
  <c r="K179" i="3"/>
  <c r="L179" i="3"/>
  <c r="J172" i="3"/>
  <c r="J165" i="3"/>
  <c r="J158" i="3"/>
  <c r="K158" i="3"/>
  <c r="L158" i="3"/>
  <c r="J69" i="3"/>
  <c r="J67" i="3" s="1"/>
  <c r="K69" i="3"/>
  <c r="K67" i="3" s="1"/>
  <c r="L69" i="3"/>
  <c r="L67" i="3" s="1"/>
  <c r="J62" i="3"/>
  <c r="J60" i="3" s="1"/>
  <c r="K62" i="3"/>
  <c r="K60" i="3" s="1"/>
  <c r="L62" i="3"/>
  <c r="L60" i="3" s="1"/>
  <c r="J132" i="3"/>
  <c r="J130" i="3" s="1"/>
  <c r="K132" i="3"/>
  <c r="K130" i="3" s="1"/>
  <c r="L132" i="3"/>
  <c r="L130" i="3" s="1"/>
  <c r="J55" i="3"/>
  <c r="J53" i="3" s="1"/>
  <c r="K55" i="3"/>
  <c r="K53" i="3" s="1"/>
  <c r="L55" i="3"/>
  <c r="L53" i="3" s="1"/>
  <c r="J48" i="3"/>
  <c r="J46" i="3" s="1"/>
  <c r="K48" i="3"/>
  <c r="K46" i="3" s="1"/>
  <c r="L48" i="3"/>
  <c r="L46" i="3" s="1"/>
  <c r="J111" i="3"/>
  <c r="K111" i="3"/>
  <c r="L111" i="3"/>
  <c r="K102" i="3"/>
  <c r="L102" i="3"/>
  <c r="J98" i="3"/>
  <c r="K98" i="3"/>
  <c r="L98" i="3"/>
  <c r="J41" i="3"/>
  <c r="J39" i="3" s="1"/>
  <c r="K41" i="3"/>
  <c r="K39" i="3" s="1"/>
  <c r="L41" i="3"/>
  <c r="L39" i="3" s="1"/>
  <c r="J390" i="3"/>
  <c r="K390" i="3"/>
  <c r="L390" i="3"/>
  <c r="J322" i="3"/>
  <c r="K322" i="3"/>
  <c r="L322" i="3"/>
  <c r="J323" i="3"/>
  <c r="K323" i="3"/>
  <c r="L323" i="3"/>
  <c r="J325" i="3"/>
  <c r="K325" i="3"/>
  <c r="L325" i="3"/>
  <c r="J320" i="3"/>
  <c r="K320" i="3"/>
  <c r="L320" i="3"/>
  <c r="J245" i="3"/>
  <c r="K245" i="3"/>
  <c r="L245" i="3"/>
  <c r="J225" i="3"/>
  <c r="K225" i="3"/>
  <c r="L225" i="3"/>
  <c r="J227" i="3"/>
  <c r="J17" i="3" s="1"/>
  <c r="K227" i="3"/>
  <c r="K17" i="3" s="1"/>
  <c r="L227" i="3"/>
  <c r="L17" i="3" s="1"/>
  <c r="J222" i="3"/>
  <c r="J12" i="3" s="1"/>
  <c r="K222" i="3"/>
  <c r="L222" i="3"/>
  <c r="J203" i="3"/>
  <c r="K203" i="3"/>
  <c r="L203" i="3"/>
  <c r="J204" i="3"/>
  <c r="K204" i="3"/>
  <c r="L204" i="3"/>
  <c r="J205" i="3"/>
  <c r="K205" i="3"/>
  <c r="L205" i="3"/>
  <c r="J206" i="3"/>
  <c r="K206" i="3"/>
  <c r="L206" i="3"/>
  <c r="I203" i="3"/>
  <c r="J201" i="3"/>
  <c r="K201" i="3"/>
  <c r="L201" i="3"/>
  <c r="M54" i="3"/>
  <c r="L15" i="3" l="1"/>
  <c r="K15" i="3"/>
  <c r="J15" i="3"/>
  <c r="M108" i="1"/>
  <c r="M106" i="1" s="1"/>
  <c r="L12" i="3"/>
  <c r="K12" i="3"/>
  <c r="O108" i="1"/>
  <c r="O106" i="1" s="1"/>
  <c r="O103" i="1" s="1"/>
  <c r="O15" i="1" s="1"/>
  <c r="N108" i="1"/>
  <c r="N106" i="1" s="1"/>
  <c r="L112" i="3"/>
  <c r="L109" i="3" s="1"/>
  <c r="J112" i="3"/>
  <c r="J109" i="3" s="1"/>
  <c r="K112" i="3"/>
  <c r="K109" i="3" s="1"/>
  <c r="K237" i="3"/>
  <c r="K235" i="3" s="1"/>
  <c r="J237" i="3"/>
  <c r="J235" i="3" s="1"/>
  <c r="L237" i="3"/>
  <c r="L235" i="3" s="1"/>
  <c r="L244" i="3"/>
  <c r="L242" i="3" s="1"/>
  <c r="J244" i="3"/>
  <c r="J242" i="3" s="1"/>
  <c r="K244" i="3"/>
  <c r="K242" i="3" s="1"/>
  <c r="L224" i="3"/>
  <c r="L231" i="3"/>
  <c r="J224" i="3"/>
  <c r="J231" i="3"/>
  <c r="K224" i="3"/>
  <c r="K231" i="3"/>
  <c r="L95" i="3"/>
  <c r="J95" i="3"/>
  <c r="K95" i="3"/>
  <c r="L200" i="3"/>
  <c r="J200" i="3"/>
  <c r="M103" i="1"/>
  <c r="M15" i="1" s="1"/>
  <c r="K200" i="3"/>
  <c r="J77" i="3" l="1"/>
  <c r="K77" i="3"/>
  <c r="L77" i="3"/>
  <c r="N100" i="1"/>
  <c r="N103" i="1"/>
  <c r="N15" i="1" s="1"/>
  <c r="K230" i="3"/>
  <c r="K228" i="3" s="1"/>
  <c r="M100" i="1"/>
  <c r="J230" i="3"/>
  <c r="J228" i="3" s="1"/>
  <c r="O100" i="1"/>
  <c r="L230" i="3"/>
  <c r="L228" i="3" s="1"/>
  <c r="K74" i="3" l="1"/>
  <c r="K21" i="3"/>
  <c r="K14" i="3" s="1"/>
  <c r="L21" i="3"/>
  <c r="L14" i="3" s="1"/>
  <c r="J21" i="3"/>
  <c r="J14" i="3" s="1"/>
  <c r="J74" i="3"/>
  <c r="L74" i="3"/>
  <c r="L277" i="3"/>
  <c r="K277" i="3"/>
  <c r="J277" i="3"/>
  <c r="P135" i="1" l="1"/>
  <c r="M300" i="3" s="1"/>
  <c r="P185" i="1"/>
  <c r="P186" i="1"/>
  <c r="P187" i="1"/>
  <c r="P194" i="1"/>
  <c r="P192" i="1" s="1"/>
  <c r="P188" i="1"/>
  <c r="P189" i="1"/>
  <c r="P190" i="1"/>
  <c r="P191" i="1"/>
  <c r="M398" i="3"/>
  <c r="J389" i="3"/>
  <c r="K389" i="3"/>
  <c r="L389" i="3"/>
  <c r="J384" i="3"/>
  <c r="J382" i="3" s="1"/>
  <c r="K384" i="3"/>
  <c r="K382" i="3" s="1"/>
  <c r="L384" i="3"/>
  <c r="L382" i="3" s="1"/>
  <c r="J328" i="3"/>
  <c r="J326" i="3" s="1"/>
  <c r="K328" i="3" l="1"/>
  <c r="K326" i="3" s="1"/>
  <c r="J335" i="3"/>
  <c r="J333" i="3" s="1"/>
  <c r="K223" i="3"/>
  <c r="L223" i="3"/>
  <c r="J223" i="3"/>
  <c r="P37" i="1"/>
  <c r="P31" i="1"/>
  <c r="J88" i="3"/>
  <c r="K88" i="3"/>
  <c r="L88" i="3"/>
  <c r="K83" i="3" l="1"/>
  <c r="K81" i="3" s="1"/>
  <c r="L83" i="3"/>
  <c r="L81" i="3" s="1"/>
  <c r="J83" i="3"/>
  <c r="J81" i="3" s="1"/>
  <c r="L328" i="3"/>
  <c r="L326" i="3" s="1"/>
  <c r="K335" i="3"/>
  <c r="K333" i="3" s="1"/>
  <c r="L221" i="3"/>
  <c r="K221" i="3"/>
  <c r="J221" i="3"/>
  <c r="M174" i="3"/>
  <c r="M175" i="3"/>
  <c r="M166" i="3"/>
  <c r="I167" i="3"/>
  <c r="H167" i="3"/>
  <c r="E167" i="3"/>
  <c r="M168" i="3"/>
  <c r="J77" i="1"/>
  <c r="J75" i="1" s="1"/>
  <c r="I77" i="1"/>
  <c r="I75" i="1" s="1"/>
  <c r="F160" i="3" l="1"/>
  <c r="G160" i="3"/>
  <c r="K165" i="3"/>
  <c r="P76" i="1"/>
  <c r="G167" i="3"/>
  <c r="G165" i="3" s="1"/>
  <c r="L165" i="3"/>
  <c r="L335" i="3"/>
  <c r="L333" i="3" s="1"/>
  <c r="F167" i="3"/>
  <c r="F165" i="3" s="1"/>
  <c r="G172" i="3"/>
  <c r="M172" i="3" s="1"/>
  <c r="E165" i="3"/>
  <c r="M165" i="3" l="1"/>
  <c r="M167" i="3"/>
  <c r="L20" i="3"/>
  <c r="K20" i="3"/>
  <c r="J20" i="3"/>
  <c r="J140" i="1"/>
  <c r="J137" i="1" s="1"/>
  <c r="J136" i="1" l="1"/>
  <c r="G307" i="3"/>
  <c r="J105" i="1"/>
  <c r="J18" i="3"/>
  <c r="K18" i="3"/>
  <c r="L18" i="3"/>
  <c r="G305" i="3" l="1"/>
  <c r="J21" i="1"/>
  <c r="P57" i="1"/>
  <c r="I245" i="3" l="1"/>
  <c r="I231" i="3" s="1"/>
  <c r="H245" i="3"/>
  <c r="H231" i="3" s="1"/>
  <c r="J118" i="1"/>
  <c r="J113" i="1"/>
  <c r="J112" i="1"/>
  <c r="J107" i="1" l="1"/>
  <c r="J102" i="1" s="1"/>
  <c r="G237" i="3"/>
  <c r="M231" i="3"/>
  <c r="M395" i="3"/>
  <c r="G230" i="3" l="1"/>
  <c r="J106" i="1"/>
  <c r="G228" i="3"/>
  <c r="J15" i="1"/>
  <c r="L119" i="1"/>
  <c r="K119" i="1"/>
  <c r="L115" i="1"/>
  <c r="L114" i="1"/>
  <c r="K115" i="1"/>
  <c r="K114" i="1"/>
  <c r="P109" i="1" l="1"/>
  <c r="K108" i="1"/>
  <c r="L108" i="1"/>
  <c r="L106" i="1" s="1"/>
  <c r="L103" i="1" s="1"/>
  <c r="L15" i="1" s="1"/>
  <c r="I237" i="3"/>
  <c r="P117" i="1"/>
  <c r="J377" i="3"/>
  <c r="P107" i="1" l="1"/>
  <c r="K106" i="1"/>
  <c r="H230" i="3" s="1"/>
  <c r="H228" i="3" s="1"/>
  <c r="M237" i="3"/>
  <c r="P14" i="1"/>
  <c r="L100" i="1"/>
  <c r="I230" i="3"/>
  <c r="I228" i="3" s="1"/>
  <c r="J375" i="3"/>
  <c r="K377" i="3"/>
  <c r="J90" i="1"/>
  <c r="P106" i="1" l="1"/>
  <c r="M230" i="3" s="1"/>
  <c r="K100" i="1"/>
  <c r="K103" i="1"/>
  <c r="P102" i="1" s="1"/>
  <c r="J370" i="3"/>
  <c r="J368" i="3" s="1"/>
  <c r="M228" i="3"/>
  <c r="K375" i="3"/>
  <c r="K368" i="3"/>
  <c r="N144" i="1"/>
  <c r="N13" i="1" s="1"/>
  <c r="N12" i="1" s="1"/>
  <c r="J87" i="1"/>
  <c r="J71" i="1" s="1"/>
  <c r="K15" i="1" l="1"/>
  <c r="J72" i="1"/>
  <c r="J363" i="3"/>
  <c r="J361" i="3" s="1"/>
  <c r="M144" i="1"/>
  <c r="M13" i="1" s="1"/>
  <c r="M12" i="1" s="1"/>
  <c r="M142" i="1"/>
  <c r="P86" i="1"/>
  <c r="N142" i="1"/>
  <c r="K363" i="3"/>
  <c r="K361" i="3" s="1"/>
  <c r="L377" i="3"/>
  <c r="J67" i="1" l="1"/>
  <c r="G153" i="3"/>
  <c r="J66" i="1"/>
  <c r="G146" i="3" s="1"/>
  <c r="G144" i="3" s="1"/>
  <c r="J321" i="3"/>
  <c r="J13" i="3" s="1"/>
  <c r="L370" i="3"/>
  <c r="L368" i="3" s="1"/>
  <c r="L375" i="3"/>
  <c r="K321" i="3"/>
  <c r="K13" i="3" s="1"/>
  <c r="I390" i="3"/>
  <c r="H390" i="3"/>
  <c r="H461" i="3"/>
  <c r="H459" i="3" s="1"/>
  <c r="I461" i="3"/>
  <c r="I459" i="3" s="1"/>
  <c r="M461" i="3"/>
  <c r="H454" i="3"/>
  <c r="H452" i="3" s="1"/>
  <c r="I454" i="3"/>
  <c r="I452" i="3" s="1"/>
  <c r="H445" i="3"/>
  <c r="I445" i="3"/>
  <c r="H440" i="3"/>
  <c r="H438" i="3" s="1"/>
  <c r="I440" i="3"/>
  <c r="I438" i="3" s="1"/>
  <c r="H475" i="3"/>
  <c r="H473" i="3" s="1"/>
  <c r="I475" i="3"/>
  <c r="I473" i="3" s="1"/>
  <c r="H433" i="3"/>
  <c r="H431" i="3" s="1"/>
  <c r="I433" i="3"/>
  <c r="I431" i="3" s="1"/>
  <c r="H426" i="3"/>
  <c r="H424" i="3" s="1"/>
  <c r="I426" i="3"/>
  <c r="I424" i="3" s="1"/>
  <c r="M426" i="3"/>
  <c r="H419" i="3"/>
  <c r="H417" i="3" s="1"/>
  <c r="I419" i="3"/>
  <c r="I417" i="3" s="1"/>
  <c r="H405" i="3"/>
  <c r="H403" i="3" s="1"/>
  <c r="M454" i="3"/>
  <c r="M440" i="3"/>
  <c r="M475" i="3"/>
  <c r="M433" i="3"/>
  <c r="M419" i="3"/>
  <c r="K11" i="3" l="1"/>
  <c r="J11" i="3"/>
  <c r="J319" i="3"/>
  <c r="L363" i="3"/>
  <c r="L361" i="3" s="1"/>
  <c r="O144" i="1"/>
  <c r="O13" i="1" s="1"/>
  <c r="O12" i="1" s="1"/>
  <c r="O142" i="1"/>
  <c r="M403" i="3"/>
  <c r="M417" i="3"/>
  <c r="K319" i="3"/>
  <c r="M431" i="3"/>
  <c r="M473" i="3"/>
  <c r="M438" i="3"/>
  <c r="M445" i="3"/>
  <c r="M390" i="3"/>
  <c r="M391" i="3"/>
  <c r="M452" i="3"/>
  <c r="M459" i="3"/>
  <c r="G383" i="3"/>
  <c r="L321" i="3" l="1"/>
  <c r="L13" i="3" s="1"/>
  <c r="M389" i="3"/>
  <c r="L11" i="3" l="1"/>
  <c r="L319" i="3"/>
  <c r="J130" i="1"/>
  <c r="P129" i="1" s="1"/>
  <c r="J127" i="1" l="1"/>
  <c r="P127" i="1" s="1"/>
  <c r="G158" i="3"/>
  <c r="G235" i="3"/>
  <c r="J163" i="1"/>
  <c r="J43" i="1"/>
  <c r="J39" i="1" s="1"/>
  <c r="E323" i="3"/>
  <c r="M225" i="3"/>
  <c r="I235" i="3"/>
  <c r="I244" i="3"/>
  <c r="I242" i="3" s="1"/>
  <c r="G98" i="3"/>
  <c r="G369" i="3"/>
  <c r="M61" i="3"/>
  <c r="M131" i="3"/>
  <c r="M118" i="3"/>
  <c r="M117" i="3"/>
  <c r="M110" i="3"/>
  <c r="M103" i="3"/>
  <c r="M96" i="3"/>
  <c r="M89" i="3"/>
  <c r="M82" i="3"/>
  <c r="M301" i="3"/>
  <c r="M299" i="3"/>
  <c r="M294" i="3"/>
  <c r="M292" i="3"/>
  <c r="M385" i="3"/>
  <c r="M383" i="3"/>
  <c r="M378" i="3"/>
  <c r="M376" i="3"/>
  <c r="M371" i="3"/>
  <c r="M343" i="3"/>
  <c r="M341" i="3"/>
  <c r="M336" i="3"/>
  <c r="M334" i="3"/>
  <c r="M266" i="3"/>
  <c r="M264" i="3"/>
  <c r="M315" i="3"/>
  <c r="M313" i="3"/>
  <c r="M280" i="3"/>
  <c r="M278" i="3"/>
  <c r="M259" i="3"/>
  <c r="M257" i="3"/>
  <c r="M252" i="3"/>
  <c r="M250" i="3"/>
  <c r="M287" i="3"/>
  <c r="M285" i="3"/>
  <c r="M245" i="3"/>
  <c r="M243" i="3"/>
  <c r="M238" i="3"/>
  <c r="M236" i="3"/>
  <c r="M196" i="3"/>
  <c r="M194" i="3"/>
  <c r="M217" i="3"/>
  <c r="M215" i="3"/>
  <c r="M210" i="3"/>
  <c r="M208" i="3"/>
  <c r="M189" i="3"/>
  <c r="M187" i="3"/>
  <c r="M182" i="3"/>
  <c r="M180" i="3"/>
  <c r="M161" i="3"/>
  <c r="M159" i="3"/>
  <c r="M70" i="3"/>
  <c r="M68" i="3"/>
  <c r="M63" i="3"/>
  <c r="M133" i="3"/>
  <c r="M56" i="3"/>
  <c r="M49" i="3"/>
  <c r="M47" i="3"/>
  <c r="M105" i="3"/>
  <c r="M104" i="3"/>
  <c r="M91" i="3"/>
  <c r="M84" i="3"/>
  <c r="M40" i="3"/>
  <c r="M42" i="3"/>
  <c r="M204" i="3"/>
  <c r="M205" i="3"/>
  <c r="M206" i="3"/>
  <c r="M227" i="3"/>
  <c r="M323" i="3"/>
  <c r="M325" i="3"/>
  <c r="P53" i="1"/>
  <c r="G116" i="3"/>
  <c r="M116" i="3" s="1"/>
  <c r="F224" i="3"/>
  <c r="H209" i="3"/>
  <c r="I209" i="3"/>
  <c r="I207" i="3" s="1"/>
  <c r="H377" i="3"/>
  <c r="H375" i="3" s="1"/>
  <c r="J152" i="1"/>
  <c r="J146" i="1" s="1"/>
  <c r="K154" i="1"/>
  <c r="L154" i="1"/>
  <c r="H384" i="3"/>
  <c r="H382" i="3" s="1"/>
  <c r="I88" i="3"/>
  <c r="G224" i="3"/>
  <c r="I85" i="1"/>
  <c r="I111" i="3"/>
  <c r="I112" i="3" s="1"/>
  <c r="H109" i="3"/>
  <c r="I36" i="1"/>
  <c r="I263" i="3"/>
  <c r="G263" i="3"/>
  <c r="F265" i="3"/>
  <c r="F263" i="3" s="1"/>
  <c r="I140" i="1"/>
  <c r="I137" i="1" s="1"/>
  <c r="G102" i="3"/>
  <c r="G111" i="3"/>
  <c r="F102" i="3"/>
  <c r="I82" i="1"/>
  <c r="I99" i="1"/>
  <c r="I95" i="1" s="1"/>
  <c r="I30" i="1"/>
  <c r="I28" i="1" s="1"/>
  <c r="I43" i="1"/>
  <c r="I39" i="1" s="1"/>
  <c r="F384" i="3"/>
  <c r="F382" i="3" s="1"/>
  <c r="E384" i="3"/>
  <c r="F377" i="3"/>
  <c r="F375" i="3" s="1"/>
  <c r="E377" i="3"/>
  <c r="I149" i="1"/>
  <c r="I146" i="1" s="1"/>
  <c r="G377" i="3"/>
  <c r="G375" i="3" s="1"/>
  <c r="I90" i="1"/>
  <c r="I300" i="3"/>
  <c r="I298" i="3" s="1"/>
  <c r="H300" i="3"/>
  <c r="H298" i="3" s="1"/>
  <c r="G300" i="3"/>
  <c r="G298" i="3" s="1"/>
  <c r="F300" i="3"/>
  <c r="F298" i="3" s="1"/>
  <c r="E300" i="3"/>
  <c r="E298" i="3" s="1"/>
  <c r="I293" i="3"/>
  <c r="I291" i="3" s="1"/>
  <c r="H293" i="3"/>
  <c r="H291" i="3" s="1"/>
  <c r="G293" i="3"/>
  <c r="G291" i="3" s="1"/>
  <c r="F293" i="3"/>
  <c r="F291" i="3" s="1"/>
  <c r="E293" i="3"/>
  <c r="E291" i="3" s="1"/>
  <c r="F342" i="3"/>
  <c r="F340" i="3" s="1"/>
  <c r="E342" i="3"/>
  <c r="I335" i="3"/>
  <c r="I333" i="3" s="1"/>
  <c r="H335" i="3"/>
  <c r="H333" i="3" s="1"/>
  <c r="G335" i="3"/>
  <c r="G333" i="3" s="1"/>
  <c r="E335" i="3"/>
  <c r="I314" i="3"/>
  <c r="I312" i="3" s="1"/>
  <c r="H314" i="3"/>
  <c r="H312" i="3" s="1"/>
  <c r="G314" i="3"/>
  <c r="G312" i="3" s="1"/>
  <c r="E314" i="3"/>
  <c r="E312" i="3" s="1"/>
  <c r="I277" i="3"/>
  <c r="H277" i="3"/>
  <c r="G279" i="3"/>
  <c r="G277" i="3" s="1"/>
  <c r="F279" i="3"/>
  <c r="F277" i="3" s="1"/>
  <c r="I258" i="3"/>
  <c r="I256" i="3" s="1"/>
  <c r="H258" i="3"/>
  <c r="H256" i="3" s="1"/>
  <c r="G258" i="3"/>
  <c r="G256" i="3" s="1"/>
  <c r="F258" i="3"/>
  <c r="F256" i="3" s="1"/>
  <c r="E258" i="3"/>
  <c r="E256" i="3" s="1"/>
  <c r="I251" i="3"/>
  <c r="I249" i="3" s="1"/>
  <c r="H251" i="3"/>
  <c r="H249" i="3" s="1"/>
  <c r="G251" i="3"/>
  <c r="G249" i="3" s="1"/>
  <c r="F251" i="3"/>
  <c r="F249" i="3" s="1"/>
  <c r="E251" i="3"/>
  <c r="G286" i="3"/>
  <c r="G284" i="3" s="1"/>
  <c r="G244" i="3"/>
  <c r="G242" i="3" s="1"/>
  <c r="G195" i="3"/>
  <c r="G193" i="3" s="1"/>
  <c r="G216" i="3"/>
  <c r="G214" i="3" s="1"/>
  <c r="G209" i="3"/>
  <c r="G207" i="3" s="1"/>
  <c r="G188" i="3"/>
  <c r="G186" i="3" s="1"/>
  <c r="G69" i="3"/>
  <c r="G67" i="3" s="1"/>
  <c r="G62" i="3"/>
  <c r="G60" i="3" s="1"/>
  <c r="G132" i="3"/>
  <c r="G130" i="3" s="1"/>
  <c r="G55" i="3"/>
  <c r="G53" i="3" s="1"/>
  <c r="G48" i="3"/>
  <c r="G46" i="3" s="1"/>
  <c r="I286" i="3"/>
  <c r="I284" i="3" s="1"/>
  <c r="H286" i="3"/>
  <c r="H284" i="3" s="1"/>
  <c r="F286" i="3"/>
  <c r="F284" i="3" s="1"/>
  <c r="E286" i="3"/>
  <c r="E284" i="3" s="1"/>
  <c r="F235" i="3"/>
  <c r="E235" i="3"/>
  <c r="H244" i="3"/>
  <c r="H242" i="3" s="1"/>
  <c r="F244" i="3"/>
  <c r="F242" i="3" s="1"/>
  <c r="E244" i="3"/>
  <c r="I195" i="3"/>
  <c r="I193" i="3" s="1"/>
  <c r="H195" i="3"/>
  <c r="H193" i="3" s="1"/>
  <c r="E195" i="3"/>
  <c r="E193" i="3" s="1"/>
  <c r="I216" i="3"/>
  <c r="I214" i="3" s="1"/>
  <c r="H216" i="3"/>
  <c r="H214" i="3" s="1"/>
  <c r="E216" i="3"/>
  <c r="E214" i="3" s="1"/>
  <c r="F209" i="3"/>
  <c r="F207" i="3" s="1"/>
  <c r="E209" i="3"/>
  <c r="E207" i="3" s="1"/>
  <c r="I188" i="3"/>
  <c r="I186" i="3" s="1"/>
  <c r="H188" i="3"/>
  <c r="H186" i="3" s="1"/>
  <c r="F188" i="3"/>
  <c r="F186" i="3" s="1"/>
  <c r="E188" i="3"/>
  <c r="E186" i="3" s="1"/>
  <c r="I179" i="3"/>
  <c r="H179" i="3"/>
  <c r="E181" i="3"/>
  <c r="E179" i="3" s="1"/>
  <c r="I158" i="3"/>
  <c r="H158" i="3"/>
  <c r="I69" i="3"/>
  <c r="I67" i="3" s="1"/>
  <c r="H69" i="3"/>
  <c r="H67" i="3" s="1"/>
  <c r="F69" i="3"/>
  <c r="F67" i="3" s="1"/>
  <c r="E69" i="3"/>
  <c r="E67" i="3" s="1"/>
  <c r="I62" i="3"/>
  <c r="I60" i="3" s="1"/>
  <c r="H62" i="3"/>
  <c r="H60" i="3" s="1"/>
  <c r="E62" i="3"/>
  <c r="E60" i="3" s="1"/>
  <c r="I132" i="3"/>
  <c r="I130" i="3" s="1"/>
  <c r="H132" i="3"/>
  <c r="H130" i="3" s="1"/>
  <c r="F132" i="3"/>
  <c r="F130" i="3" s="1"/>
  <c r="E130" i="3"/>
  <c r="I55" i="3"/>
  <c r="I53" i="3" s="1"/>
  <c r="H55" i="3"/>
  <c r="H53" i="3" s="1"/>
  <c r="F55" i="3"/>
  <c r="F53" i="3" s="1"/>
  <c r="E55" i="3"/>
  <c r="I48" i="3"/>
  <c r="I46" i="3" s="1"/>
  <c r="H48" i="3"/>
  <c r="H46" i="3" s="1"/>
  <c r="F48" i="3"/>
  <c r="F46" i="3" s="1"/>
  <c r="E48" i="3"/>
  <c r="E46" i="3" s="1"/>
  <c r="I98" i="3"/>
  <c r="H98" i="3"/>
  <c r="H77" i="3" s="1"/>
  <c r="E97" i="3"/>
  <c r="E90" i="3"/>
  <c r="E83" i="3"/>
  <c r="I41" i="3"/>
  <c r="I39" i="3" s="1"/>
  <c r="H41" i="3"/>
  <c r="H39" i="3" s="1"/>
  <c r="G41" i="3"/>
  <c r="G39" i="3" s="1"/>
  <c r="E41" i="3"/>
  <c r="I322" i="3"/>
  <c r="I323" i="3"/>
  <c r="I325" i="3"/>
  <c r="I320" i="3"/>
  <c r="H322" i="3"/>
  <c r="H323" i="3"/>
  <c r="H325" i="3"/>
  <c r="H320" i="3"/>
  <c r="F322" i="3"/>
  <c r="G322" i="3"/>
  <c r="F323" i="3"/>
  <c r="G323" i="3"/>
  <c r="F325" i="3"/>
  <c r="G325" i="3"/>
  <c r="E325" i="3"/>
  <c r="E322" i="3"/>
  <c r="F320" i="3"/>
  <c r="E320" i="3"/>
  <c r="I227" i="3"/>
  <c r="I17" i="3" s="1"/>
  <c r="H227" i="3"/>
  <c r="I224" i="3"/>
  <c r="I225" i="3"/>
  <c r="H225" i="3"/>
  <c r="H224" i="3"/>
  <c r="I222" i="3"/>
  <c r="H222" i="3"/>
  <c r="F225" i="3"/>
  <c r="F15" i="3" s="1"/>
  <c r="G225" i="3"/>
  <c r="G15" i="3" s="1"/>
  <c r="F227" i="3"/>
  <c r="F17" i="3" s="1"/>
  <c r="G227" i="3"/>
  <c r="G17" i="3" s="1"/>
  <c r="E227" i="3"/>
  <c r="E17" i="3" s="1"/>
  <c r="E225" i="3"/>
  <c r="E224" i="3"/>
  <c r="F222" i="3"/>
  <c r="G222" i="3"/>
  <c r="E222" i="3"/>
  <c r="I206" i="3"/>
  <c r="I205" i="3"/>
  <c r="H205" i="3"/>
  <c r="H206" i="3"/>
  <c r="I204" i="3"/>
  <c r="H204" i="3"/>
  <c r="F206" i="3"/>
  <c r="G206" i="3"/>
  <c r="F205" i="3"/>
  <c r="G205" i="3"/>
  <c r="E205" i="3"/>
  <c r="E206" i="3"/>
  <c r="F204" i="3"/>
  <c r="G204" i="3"/>
  <c r="E204" i="3"/>
  <c r="H203" i="3"/>
  <c r="I201" i="3"/>
  <c r="H201" i="3"/>
  <c r="F203" i="3"/>
  <c r="G203" i="3"/>
  <c r="E203" i="3"/>
  <c r="F201" i="3"/>
  <c r="G201" i="3"/>
  <c r="E201" i="3"/>
  <c r="E14" i="3" l="1"/>
  <c r="I12" i="3"/>
  <c r="L145" i="1"/>
  <c r="L147" i="1"/>
  <c r="I15" i="3"/>
  <c r="I328" i="3"/>
  <c r="I326" i="3" s="1"/>
  <c r="H21" i="3"/>
  <c r="H18" i="3" s="1"/>
  <c r="H74" i="3"/>
  <c r="H12" i="3"/>
  <c r="E12" i="3"/>
  <c r="H17" i="3"/>
  <c r="M17" i="3" s="1"/>
  <c r="F12" i="3"/>
  <c r="K145" i="1"/>
  <c r="K144" i="1" s="1"/>
  <c r="K147" i="1"/>
  <c r="M130" i="3"/>
  <c r="I342" i="3"/>
  <c r="I340" i="3" s="1"/>
  <c r="H342" i="3"/>
  <c r="H340" i="3" s="1"/>
  <c r="H15" i="3"/>
  <c r="E15" i="3"/>
  <c r="I92" i="1"/>
  <c r="P92" i="1" s="1"/>
  <c r="F202" i="3"/>
  <c r="J124" i="1"/>
  <c r="P124" i="1" s="1"/>
  <c r="M272" i="3" s="1"/>
  <c r="M270" i="3" s="1"/>
  <c r="G272" i="3"/>
  <c r="G270" i="3" s="1"/>
  <c r="J100" i="1"/>
  <c r="G223" i="3" s="1"/>
  <c r="G221" i="3" s="1"/>
  <c r="I145" i="1"/>
  <c r="I143" i="1"/>
  <c r="F328" i="3"/>
  <c r="F326" i="3" s="1"/>
  <c r="I142" i="1"/>
  <c r="I136" i="1"/>
  <c r="F307" i="3"/>
  <c r="I105" i="1"/>
  <c r="P137" i="1"/>
  <c r="I100" i="1"/>
  <c r="I74" i="1"/>
  <c r="P74" i="1" s="1"/>
  <c r="I71" i="1"/>
  <c r="J145" i="1"/>
  <c r="G328" i="3"/>
  <c r="I26" i="1"/>
  <c r="I40" i="1"/>
  <c r="J160" i="1"/>
  <c r="P160" i="1" s="1"/>
  <c r="J158" i="1"/>
  <c r="J143" i="1" s="1"/>
  <c r="J40" i="1"/>
  <c r="F181" i="3"/>
  <c r="I72" i="1"/>
  <c r="E242" i="3"/>
  <c r="M242" i="3" s="1"/>
  <c r="M244" i="3"/>
  <c r="G151" i="3"/>
  <c r="G181" i="3"/>
  <c r="G179" i="3" s="1"/>
  <c r="F41" i="3"/>
  <c r="F39" i="3" s="1"/>
  <c r="P29" i="1"/>
  <c r="F216" i="3"/>
  <c r="F214" i="3" s="1"/>
  <c r="M214" i="3" s="1"/>
  <c r="P163" i="1"/>
  <c r="E370" i="3"/>
  <c r="H368" i="3"/>
  <c r="F368" i="3"/>
  <c r="P148" i="1"/>
  <c r="P151" i="1"/>
  <c r="J104" i="1"/>
  <c r="P95" i="1"/>
  <c r="I70" i="1"/>
  <c r="P139" i="1"/>
  <c r="P89" i="1"/>
  <c r="P81" i="1"/>
  <c r="P42" i="1"/>
  <c r="G83" i="3"/>
  <c r="G81" i="3" s="1"/>
  <c r="P35" i="1"/>
  <c r="P85" i="1"/>
  <c r="F361" i="3"/>
  <c r="H363" i="3"/>
  <c r="H361" i="3" s="1"/>
  <c r="H88" i="3"/>
  <c r="G320" i="3"/>
  <c r="G12" i="3" s="1"/>
  <c r="G362" i="3"/>
  <c r="I95" i="3"/>
  <c r="I77" i="3"/>
  <c r="I21" i="3" s="1"/>
  <c r="I14" i="3" s="1"/>
  <c r="H95" i="3"/>
  <c r="G95" i="3"/>
  <c r="E277" i="3"/>
  <c r="M277" i="3" s="1"/>
  <c r="M279" i="3"/>
  <c r="G384" i="3"/>
  <c r="G382" i="3" s="1"/>
  <c r="M284" i="3"/>
  <c r="E375" i="3"/>
  <c r="E263" i="3"/>
  <c r="M265" i="3"/>
  <c r="M201" i="3"/>
  <c r="E333" i="3"/>
  <c r="E340" i="3"/>
  <c r="M111" i="3"/>
  <c r="E382" i="3"/>
  <c r="E39" i="3"/>
  <c r="E95" i="3"/>
  <c r="E81" i="3"/>
  <c r="E88" i="3"/>
  <c r="M369" i="3"/>
  <c r="M362" i="3" s="1"/>
  <c r="E223" i="3"/>
  <c r="F98" i="3"/>
  <c r="F195" i="3"/>
  <c r="F193" i="3" s="1"/>
  <c r="M193" i="3" s="1"/>
  <c r="F88" i="3"/>
  <c r="G342" i="3"/>
  <c r="G340" i="3" s="1"/>
  <c r="M203" i="3"/>
  <c r="M222" i="3"/>
  <c r="M224" i="3"/>
  <c r="M322" i="3"/>
  <c r="F158" i="3"/>
  <c r="M291" i="3"/>
  <c r="F335" i="3"/>
  <c r="F333" i="3" s="1"/>
  <c r="H83" i="3"/>
  <c r="H81" i="3" s="1"/>
  <c r="I83" i="3"/>
  <c r="I81" i="3" s="1"/>
  <c r="M188" i="3"/>
  <c r="F314" i="3"/>
  <c r="F312" i="3" s="1"/>
  <c r="M312" i="3" s="1"/>
  <c r="I202" i="3"/>
  <c r="I200" i="3" s="1"/>
  <c r="M132" i="3"/>
  <c r="M251" i="3"/>
  <c r="H235" i="3"/>
  <c r="M235" i="3" s="1"/>
  <c r="M55" i="3"/>
  <c r="G200" i="3"/>
  <c r="H207" i="3"/>
  <c r="M207" i="3" s="1"/>
  <c r="M209" i="3"/>
  <c r="E200" i="3"/>
  <c r="H202" i="3"/>
  <c r="H200" i="3" s="1"/>
  <c r="F83" i="3"/>
  <c r="F81" i="3" s="1"/>
  <c r="E249" i="3"/>
  <c r="M249" i="3" s="1"/>
  <c r="E53" i="3"/>
  <c r="M53" i="3" s="1"/>
  <c r="M69" i="3"/>
  <c r="M48" i="3"/>
  <c r="F62" i="3"/>
  <c r="F60" i="3" s="1"/>
  <c r="M60" i="3" s="1"/>
  <c r="G88" i="3"/>
  <c r="I223" i="3"/>
  <c r="I221" i="3" s="1"/>
  <c r="M286" i="3"/>
  <c r="M258" i="3"/>
  <c r="M102" i="3"/>
  <c r="M147" i="3"/>
  <c r="I377" i="3"/>
  <c r="I375" i="3" s="1"/>
  <c r="M186" i="3"/>
  <c r="M67" i="3"/>
  <c r="M46" i="3"/>
  <c r="I384" i="3"/>
  <c r="P99" i="1"/>
  <c r="P96" i="1"/>
  <c r="H223" i="3"/>
  <c r="M298" i="3"/>
  <c r="G112" i="3"/>
  <c r="G77" i="3" s="1"/>
  <c r="G21" i="3" s="1"/>
  <c r="I109" i="3"/>
  <c r="H263" i="3"/>
  <c r="M256" i="3"/>
  <c r="L142" i="1" l="1"/>
  <c r="I321" i="3" s="1"/>
  <c r="L144" i="1"/>
  <c r="L13" i="1" s="1"/>
  <c r="L12" i="1" s="1"/>
  <c r="K13" i="1"/>
  <c r="K12" i="1" s="1"/>
  <c r="P143" i="1"/>
  <c r="P146" i="1"/>
  <c r="I69" i="1"/>
  <c r="P69" i="1" s="1"/>
  <c r="H221" i="3"/>
  <c r="M320" i="3"/>
  <c r="J22" i="1"/>
  <c r="G20" i="3" s="1"/>
  <c r="J23" i="1"/>
  <c r="I25" i="1"/>
  <c r="I22" i="1"/>
  <c r="I23" i="1"/>
  <c r="J157" i="1"/>
  <c r="P157" i="1" s="1"/>
  <c r="G363" i="3"/>
  <c r="P158" i="1"/>
  <c r="F76" i="3"/>
  <c r="P40" i="1"/>
  <c r="J142" i="1"/>
  <c r="F153" i="3"/>
  <c r="F151" i="3" s="1"/>
  <c r="I67" i="1"/>
  <c r="P67" i="1" s="1"/>
  <c r="I66" i="1"/>
  <c r="P72" i="1"/>
  <c r="G76" i="3"/>
  <c r="G74" i="3" s="1"/>
  <c r="F27" i="3"/>
  <c r="P26" i="1"/>
  <c r="E221" i="3"/>
  <c r="M39" i="3"/>
  <c r="M216" i="3"/>
  <c r="M41" i="3"/>
  <c r="F34" i="3"/>
  <c r="P39" i="1"/>
  <c r="P104" i="1"/>
  <c r="J16" i="1"/>
  <c r="P70" i="1"/>
  <c r="I16" i="1"/>
  <c r="I370" i="3"/>
  <c r="I368" i="3" s="1"/>
  <c r="G370" i="3"/>
  <c r="G368" i="3" s="1"/>
  <c r="G326" i="3"/>
  <c r="E321" i="3"/>
  <c r="E319" i="3" s="1"/>
  <c r="H13" i="1"/>
  <c r="H12" i="1" s="1"/>
  <c r="P136" i="1"/>
  <c r="M307" i="3" s="1"/>
  <c r="M305" i="3" s="1"/>
  <c r="M564" i="3"/>
  <c r="P15" i="1"/>
  <c r="F223" i="3"/>
  <c r="F221" i="3" s="1"/>
  <c r="F305" i="3"/>
  <c r="K142" i="1"/>
  <c r="H328" i="3"/>
  <c r="H326" i="3" s="1"/>
  <c r="H14" i="3"/>
  <c r="I74" i="3"/>
  <c r="G14" i="3"/>
  <c r="F77" i="3"/>
  <c r="F21" i="3" s="1"/>
  <c r="M21" i="3" s="1"/>
  <c r="M384" i="3"/>
  <c r="P71" i="1"/>
  <c r="M153" i="3" s="1"/>
  <c r="M151" i="3" s="1"/>
  <c r="F321" i="3"/>
  <c r="F319" i="3" s="1"/>
  <c r="P145" i="1"/>
  <c r="M328" i="3" s="1"/>
  <c r="M12" i="3"/>
  <c r="E20" i="3"/>
  <c r="E368" i="3"/>
  <c r="M340" i="3"/>
  <c r="M333" i="3"/>
  <c r="M377" i="3"/>
  <c r="M342" i="3"/>
  <c r="M335" i="3"/>
  <c r="M263" i="3"/>
  <c r="M375" i="3"/>
  <c r="G109" i="3"/>
  <c r="M109" i="3" s="1"/>
  <c r="M112" i="3"/>
  <c r="M88" i="3"/>
  <c r="M81" i="3"/>
  <c r="M97" i="3"/>
  <c r="F95" i="3"/>
  <c r="M95" i="3" s="1"/>
  <c r="M90" i="3"/>
  <c r="M83" i="3"/>
  <c r="M98" i="3"/>
  <c r="M195" i="3"/>
  <c r="M314" i="3"/>
  <c r="M62" i="3"/>
  <c r="I382" i="3"/>
  <c r="M382" i="3" s="1"/>
  <c r="F179" i="3"/>
  <c r="M179" i="3" s="1"/>
  <c r="M181" i="3"/>
  <c r="H321" i="3" l="1"/>
  <c r="P142" i="1"/>
  <c r="I20" i="1"/>
  <c r="P20" i="1" s="1"/>
  <c r="P23" i="1"/>
  <c r="M221" i="3"/>
  <c r="E13" i="3"/>
  <c r="E11" i="3" s="1"/>
  <c r="E361" i="3"/>
  <c r="P28" i="1"/>
  <c r="F32" i="3"/>
  <c r="M32" i="3" s="1"/>
  <c r="M34" i="3"/>
  <c r="F14" i="3"/>
  <c r="M14" i="3" s="1"/>
  <c r="J13" i="1"/>
  <c r="J12" i="1" s="1"/>
  <c r="F74" i="3"/>
  <c r="P105" i="1"/>
  <c r="I21" i="1"/>
  <c r="P21" i="1" s="1"/>
  <c r="P16" i="1"/>
  <c r="M326" i="3"/>
  <c r="M501" i="3"/>
  <c r="P100" i="1"/>
  <c r="M223" i="3"/>
  <c r="P66" i="1"/>
  <c r="F146" i="3"/>
  <c r="G321" i="3"/>
  <c r="G319" i="3" s="1"/>
  <c r="G361" i="3"/>
  <c r="H319" i="3"/>
  <c r="E18" i="3"/>
  <c r="M77" i="3"/>
  <c r="I20" i="3"/>
  <c r="M368" i="3"/>
  <c r="M370" i="3"/>
  <c r="F200" i="3"/>
  <c r="M200" i="3" s="1"/>
  <c r="M202" i="3"/>
  <c r="H13" i="3" l="1"/>
  <c r="H11" i="3" s="1"/>
  <c r="M321" i="3"/>
  <c r="G13" i="3"/>
  <c r="G11" i="3" s="1"/>
  <c r="F25" i="3"/>
  <c r="M25" i="3" s="1"/>
  <c r="I13" i="1"/>
  <c r="M74" i="3"/>
  <c r="M76" i="3"/>
  <c r="P25" i="1"/>
  <c r="P22" i="1"/>
  <c r="I363" i="3"/>
  <c r="I361" i="3" s="1"/>
  <c r="M361" i="3" s="1"/>
  <c r="I18" i="3"/>
  <c r="M480" i="3"/>
  <c r="F144" i="3"/>
  <c r="M146" i="3"/>
  <c r="M144" i="3" s="1"/>
  <c r="G18" i="3"/>
  <c r="F20" i="3" l="1"/>
  <c r="M27" i="3"/>
  <c r="M363" i="3"/>
  <c r="I13" i="3"/>
  <c r="I11" i="3" s="1"/>
  <c r="P13" i="1"/>
  <c r="I12" i="1"/>
  <c r="P12" i="1" s="1"/>
  <c r="F18" i="3" l="1"/>
  <c r="M18" i="3" s="1"/>
  <c r="F13" i="3"/>
  <c r="F11" i="3" s="1"/>
  <c r="M20" i="3"/>
  <c r="I319" i="3"/>
  <c r="M319" i="3" s="1"/>
  <c r="P18" i="1"/>
  <c r="M669" i="3" l="1"/>
  <c r="M11" i="3"/>
  <c r="M13" i="3" l="1"/>
  <c r="M494" i="3" l="1"/>
  <c r="M508" i="3"/>
  <c r="P75" i="1"/>
  <c r="E160" i="3"/>
  <c r="E158" i="3" s="1"/>
  <c r="M158" i="3" s="1"/>
  <c r="M160" i="3" l="1"/>
</calcChain>
</file>

<file path=xl/sharedStrings.xml><?xml version="1.0" encoding="utf-8"?>
<sst xmlns="http://schemas.openxmlformats.org/spreadsheetml/2006/main" count="2097" uniqueCount="420">
  <si>
    <t>2.1.</t>
  </si>
  <si>
    <t>2.2.</t>
  </si>
  <si>
    <t>4.1.</t>
  </si>
  <si>
    <t>4.2.</t>
  </si>
  <si>
    <t>№</t>
  </si>
  <si>
    <t>п/п</t>
  </si>
  <si>
    <t>Ответственный</t>
  </si>
  <si>
    <t>исполнитель,</t>
  </si>
  <si>
    <t>соисполнители</t>
  </si>
  <si>
    <t>Код бюджетной</t>
  </si>
  <si>
    <t>Расходы (тыс. руб.), годы</t>
  </si>
  <si>
    <t>ГРБС</t>
  </si>
  <si>
    <t>Рз</t>
  </si>
  <si>
    <t>Пр</t>
  </si>
  <si>
    <t>ЦСР</t>
  </si>
  <si>
    <t>ВР</t>
  </si>
  <si>
    <t>0113</t>
  </si>
  <si>
    <t>012</t>
  </si>
  <si>
    <t>0412</t>
  </si>
  <si>
    <t>0410</t>
  </si>
  <si>
    <t>департамент информационной политики Приморского края</t>
  </si>
  <si>
    <t>департамент образования и науки Приморского края</t>
  </si>
  <si>
    <t>департамент информатизации и телекоммуникаций Приморского края</t>
  </si>
  <si>
    <t>1.</t>
  </si>
  <si>
    <t>2.</t>
  </si>
  <si>
    <t>3.</t>
  </si>
  <si>
    <t>4.</t>
  </si>
  <si>
    <t>всего:</t>
  </si>
  <si>
    <t>244</t>
  </si>
  <si>
    <t>771</t>
  </si>
  <si>
    <t>1204</t>
  </si>
  <si>
    <t>759</t>
  </si>
  <si>
    <t>0702</t>
  </si>
  <si>
    <t>779</t>
  </si>
  <si>
    <t>5221020</t>
  </si>
  <si>
    <t>755</t>
  </si>
  <si>
    <t>760</t>
  </si>
  <si>
    <t>1006</t>
  </si>
  <si>
    <t>784</t>
  </si>
  <si>
    <t>департамент информатизации и телекоммуникации Приморского края</t>
  </si>
  <si>
    <t>064</t>
  </si>
  <si>
    <t>0029900</t>
  </si>
  <si>
    <t>1117059</t>
  </si>
  <si>
    <t>621</t>
  </si>
  <si>
    <t>1117060</t>
  </si>
  <si>
    <t>1117061</t>
  </si>
  <si>
    <t>622</t>
  </si>
  <si>
    <t>Предоставление субсидий из краевого бюджета бюджетам муниципальных образований Приморского края на  мероприятия по созданию многофункциональных центров предоставления государственных и муниципальных услуг</t>
  </si>
  <si>
    <t>5221013</t>
  </si>
  <si>
    <t>1119218</t>
  </si>
  <si>
    <t>010</t>
  </si>
  <si>
    <t>1112143</t>
  </si>
  <si>
    <t>Формирование на территории Приморского края  единого информационного пространства  органов исполнительной власти Приморского края, территориальных органов федеральных органов исполнительной власти и органов местного самоуправления Приморского края. Подключение краевых государственных учреждений, подведомственных органам исполнительной власти Приморского края, к системе межведомственного электронного взаимодействия</t>
  </si>
  <si>
    <t>1112058</t>
  </si>
  <si>
    <t>Создание Ситуационного центра Губернатора Приморского края</t>
  </si>
  <si>
    <t>1112189</t>
  </si>
  <si>
    <t>Обеспечение доступа к сети Интернет органов исполнительной власти Приморского края</t>
  </si>
  <si>
    <t>1112059</t>
  </si>
  <si>
    <t>Развитие регионального сегмента единой  системы межведомственного  электронного документооборота, в том числе создание среды электронного взаимодействия государственных органов Приморского края</t>
  </si>
  <si>
    <t>Модернизация прикладных информационных систем поддержки выполнения исполнительными органами государственной власти Приморского края и органами местного самоуправления Приморского края основных функций</t>
  </si>
  <si>
    <t>Развитие сервисов информационной системы планирования и мониторинга социально-экономического развития Приморского края</t>
  </si>
  <si>
    <t>Создание инфраструктуры для обеспечения внедрения универсальной электронной карты</t>
  </si>
  <si>
    <t>Обеспечение деятельности краевого государственного бюджетного учреждения «Центр занятости населения города Владивостока» в части использования сервисов информационной системы и организации пунктов приема заявлений по выдаче, выпуску и обслуживанию универсальных электронных карт в Приморском крае</t>
  </si>
  <si>
    <t>департамент труда и социального развития Приморского края</t>
  </si>
  <si>
    <t>0401</t>
  </si>
  <si>
    <t>612</t>
  </si>
  <si>
    <t>департамент земельных и имущественных отношений Приморского края</t>
  </si>
  <si>
    <t>Формирование электронной геоинформационной карты системы образования Приморского края как части инфраструктуры пространственных данных</t>
  </si>
  <si>
    <t>Реализация социального информационного общества</t>
  </si>
  <si>
    <t>Содержание аппарата управления департамента информатизации и телекоммуникаций Приморского края</t>
  </si>
  <si>
    <t>0020400</t>
  </si>
  <si>
    <t>Исполнение решений, принятых судебными органами</t>
  </si>
  <si>
    <t>0920306</t>
  </si>
  <si>
    <t>Создание и поддержка Интернет-портала в сети Интернет по организации отдыха, оздоровления, занятости детей и подростков для жителей Приморского края</t>
  </si>
  <si>
    <t>Обеспечение беспрепятственного доступа инвалидов к информации</t>
  </si>
  <si>
    <t>Содержание аппарата управления департамента информационной политики Приморского края</t>
  </si>
  <si>
    <t>1201</t>
  </si>
  <si>
    <t>1202</t>
  </si>
  <si>
    <t>611</t>
  </si>
  <si>
    <t>Предоставление субсидии на укрепление материально - технической базы краевому государственному бюджетному учреждению «Общественное телевидение Приморья»</t>
  </si>
  <si>
    <t>Предоставление субсидии на укрепление материально-технической базы краевому государственному автономному учреждению «Редакция газеты «Приморская газета: официальное издание органов государственной власти Приморского края»</t>
  </si>
  <si>
    <t>Мероприятия по противодействию распространению наркотиков</t>
  </si>
  <si>
    <t>Мероприятия по профилактике экстремизма и терроризма</t>
  </si>
  <si>
    <t>Мероприятия по допризывной подготовке молодежи на территории Приморского края</t>
  </si>
  <si>
    <t>Проведение краевого творческого конкурса среди средств массовой информации Приморского края на лучший материал, освещающий тему допризывной подготовки молодежи к службе в армии</t>
  </si>
  <si>
    <t>Изготовление и размещение щитов наружной рекламы на тему военно-патриотического воспитания молодежи</t>
  </si>
  <si>
    <t>Изготовление полиграфической продукции с изображением государственных символов Российской Федерации. Изготовление информационных стендов военно-патриотической направленности</t>
  </si>
  <si>
    <t>Мероприятия по профилактике правонарушений и борьбе с преступностью на территории Приморского края</t>
  </si>
  <si>
    <t>Обеспечение жителей Приморского края информацией о мероприятиях, проводимых органами исполнительной власти Приморского края и Администрацией Приморского края в честь праздничных дат Российской Федерации и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t>
  </si>
  <si>
    <t>0920006</t>
  </si>
  <si>
    <t>ИНФОРМАЦИЯ</t>
  </si>
  <si>
    <t>Источники ресурсного обеспечения</t>
  </si>
  <si>
    <t>Оценка расходов (тыс.руб.), годы</t>
  </si>
  <si>
    <t>федеральный бюджет</t>
  </si>
  <si>
    <t>краевой бюджет</t>
  </si>
  <si>
    <t>бюджет муниципальных образований</t>
  </si>
  <si>
    <t>государственные внебюджетные фонды Российской Федерации</t>
  </si>
  <si>
    <t xml:space="preserve">территориальные государственные внебюджетные фонды </t>
  </si>
  <si>
    <t>иные внебюджетные источники</t>
  </si>
  <si>
    <t>Развитие систем информационной безопасности  телекоммуникационной  инфраструктуры электронного правительства Приморского края, защиты персональных данных</t>
  </si>
  <si>
    <t>X</t>
  </si>
  <si>
    <t>1147059</t>
  </si>
  <si>
    <t>1147061</t>
  </si>
  <si>
    <t>3.1.</t>
  </si>
  <si>
    <t>3.2.</t>
  </si>
  <si>
    <t>Создание целевой системы мониторинга и управления ключевыми отраслями экономики и территориями Приморского края</t>
  </si>
  <si>
    <t xml:space="preserve">Предоставление из краевого бюджета бюджетам муниципальных образований Приморского края иных межбюджетных трансфертов, источником финансового обеспечения которых являются иные межбюджетные трансферты из федерального бюджета на завершение работ по созданию сети многофункциональных центров предоставления государственных и муниципальных услуг </t>
  </si>
  <si>
    <t>Предоставление субсидий из краевого бюджета бюджетам муниципальных образований Приморского края на  содержание многофункциональных центров предоставления государственных и муниципальных услуг</t>
  </si>
  <si>
    <t>Обеспечение функционирования единого краевого электронного образовательного интернет-портала "Электронная школа Приморья"</t>
  </si>
  <si>
    <t>0709</t>
  </si>
  <si>
    <t>1119207</t>
  </si>
  <si>
    <t>1142905</t>
  </si>
  <si>
    <t>831</t>
  </si>
  <si>
    <t>1112247</t>
  </si>
  <si>
    <t xml:space="preserve">Развитие информационно-технической  и телекоммуникационной  инфраструктуры краевых государственных образовательных организаций </t>
  </si>
  <si>
    <t>755 779</t>
  </si>
  <si>
    <t>755   760</t>
  </si>
  <si>
    <t>1197059</t>
  </si>
  <si>
    <t>111</t>
  </si>
  <si>
    <t>112</t>
  </si>
  <si>
    <t>851</t>
  </si>
  <si>
    <t>Развитие информационно-технической  и телекоммуникационной  инфраструктуры краевых государственных образовательных организаций</t>
  </si>
  <si>
    <t>1.1.</t>
  </si>
  <si>
    <t>1.2.</t>
  </si>
  <si>
    <t>1.2.1.</t>
  </si>
  <si>
    <t>1.2.2.</t>
  </si>
  <si>
    <t>1.2.3.</t>
  </si>
  <si>
    <t>1.2.4.</t>
  </si>
  <si>
    <t>1.2.5.</t>
  </si>
  <si>
    <t>1.2.6.</t>
  </si>
  <si>
    <t>1.3.</t>
  </si>
  <si>
    <t>3.3.</t>
  </si>
  <si>
    <t>5.1.</t>
  </si>
  <si>
    <t>5.2.</t>
  </si>
  <si>
    <t>5.3.</t>
  </si>
  <si>
    <t>Предоставление субсидии на осуществление мероприятий по ликвидации краевого государственного автономного учреждения Приморского края «Приморский телевизионный центр»</t>
  </si>
  <si>
    <t>Выполнение функций краевым государственным казенным учреждением Приморского края «Приморская реклама и информация»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и Надеждинского муниципального района</t>
  </si>
  <si>
    <t xml:space="preserve">ИНФОРМАЦИЯ  </t>
  </si>
  <si>
    <t>Подпрограмма № 1 «Развитие телекоммуникационной инфраструктуры органов государственной власти  Приморского края и органов местного самоуправления»</t>
  </si>
  <si>
    <t>Подпрограмма № 3 «Использование информационно-коммуникационных технологий в социально ориентированных областях»</t>
  </si>
  <si>
    <t>Подпрограмма № 4 «Развитие отрасли информационных технологий и телекоммуникаций»</t>
  </si>
  <si>
    <t xml:space="preserve">Предоставление субсидий краевым государственным автономным учреждениям на финансовое обеспечение выполнения государственного задания </t>
  </si>
  <si>
    <t>Предоставление субсидии краевым государственным автономным учреждениям на иные цели, не связанные с финансовым обеспечением выполнения государственного задания</t>
  </si>
  <si>
    <t>Предоставление субсидии на финансовое обеспечение  выполнения государственного задания краевому государственному бюджетному учреждению «Общественное телевидение Приморья»</t>
  </si>
  <si>
    <t>Предоставление субсидии на финансовое обеспечение  выполнения государственного задания  краевому государственному автономному учреждению Приморского края «Приморский телевизионный центр»</t>
  </si>
  <si>
    <t>Предоставление субсидии на финансовое обеспечение выполнения государственного задания краевому государственному автономному учреждению «Редакция газеты «Приморская газета: официальное издание органов государственной власти Приморского края»</t>
  </si>
  <si>
    <t>810</t>
  </si>
  <si>
    <t>1196087</t>
  </si>
  <si>
    <t>Развитие программно-технологической инфраструктуры пространственных данных</t>
  </si>
  <si>
    <t>Создание и развитие государственной информационной системы учета сдачи леса на пунктах приемки древесины</t>
  </si>
  <si>
    <t>департамент лесного хозяйства Приморского края</t>
  </si>
  <si>
    <t>Создание системы космического мониторинга выявления нарушений в сфере лесного хозяйства</t>
  </si>
  <si>
    <t>Развитие государственной информационной системы Приморского края «Управление лесным фондом Приморского края»</t>
  </si>
  <si>
    <t>департамент сельского хозяйства и продовольствия Приморского края</t>
  </si>
  <si>
    <t>Проведение инвентаризации и мониторинга земель сельскохозяйственного и другого назначения, агрономического учета, организация оперативного учета полевых работ с применением систем спутниковой навигации ГЛОНАСС/GPS</t>
  </si>
  <si>
    <t>Создание региональной информационной системы обеспечения градостроительной деятельности (ИСОГД)</t>
  </si>
  <si>
    <t>Создание региональной информационной системы "Объекты культурного наследия"</t>
  </si>
  <si>
    <t xml:space="preserve">департамент информатизации телекоммуникаций Приморского края    </t>
  </si>
  <si>
    <t xml:space="preserve">департамент информатизации телекоммуникаций Приморского края     </t>
  </si>
  <si>
    <t xml:space="preserve">всего          </t>
  </si>
  <si>
    <t xml:space="preserve">краевой бюджет </t>
  </si>
  <si>
    <t xml:space="preserve">федеральный бюджет </t>
  </si>
  <si>
    <t>6.</t>
  </si>
  <si>
    <t>6.1.</t>
  </si>
  <si>
    <t>6.2.</t>
  </si>
  <si>
    <t>6.3.</t>
  </si>
  <si>
    <t>6.4.</t>
  </si>
  <si>
    <t xml:space="preserve">департамент сельского хозяйства и продовольствия Приморского края     </t>
  </si>
  <si>
    <t>Оказание услуг по развитию функциональных возможностей геоаналитической  системы «Агроуправление» с использованием данных дистанционного зондирования земли</t>
  </si>
  <si>
    <t>0407</t>
  </si>
  <si>
    <t>1150222810</t>
  </si>
  <si>
    <t>1150222800</t>
  </si>
  <si>
    <t>1150322820</t>
  </si>
  <si>
    <t>1150222790</t>
  </si>
  <si>
    <t>1150222780</t>
  </si>
  <si>
    <t>1150222770</t>
  </si>
  <si>
    <t>1150222760</t>
  </si>
  <si>
    <t>1150121450</t>
  </si>
  <si>
    <t>0405</t>
  </si>
  <si>
    <t>департамент экономики и развития предпринимательства Приморского края</t>
  </si>
  <si>
    <t>2.1.1.</t>
  </si>
  <si>
    <t>2.1.2.</t>
  </si>
  <si>
    <t xml:space="preserve">Исполнение по судебным актам </t>
  </si>
  <si>
    <t>1110270590</t>
  </si>
  <si>
    <t>1110270600</t>
  </si>
  <si>
    <t>1110292180</t>
  </si>
  <si>
    <t>1110292070</t>
  </si>
  <si>
    <t>1140129050</t>
  </si>
  <si>
    <t>1140270590</t>
  </si>
  <si>
    <t>1140270610</t>
  </si>
  <si>
    <t>1160470590</t>
  </si>
  <si>
    <t>1.1.1.</t>
  </si>
  <si>
    <t>Реализация мероприятий по использованию информационно-коммуникационных технологий в целях совершенствования системы государственного и муниципального управления, предоставления услуг, создания и развития информационно-аналитических, учетных и функциональных систем Приморского края</t>
  </si>
  <si>
    <t>1.1.1.1.</t>
  </si>
  <si>
    <t>1.1.1.2.</t>
  </si>
  <si>
    <t>1.1.1.3.</t>
  </si>
  <si>
    <t>1.1.2.</t>
  </si>
  <si>
    <t>1.1.3.</t>
  </si>
  <si>
    <t>2.1.1.1.</t>
  </si>
  <si>
    <t>2.1.1.2.</t>
  </si>
  <si>
    <t>2.1.3.</t>
  </si>
  <si>
    <t>2.1.4.</t>
  </si>
  <si>
    <t>2.2.1.</t>
  </si>
  <si>
    <t>2.2.2.</t>
  </si>
  <si>
    <t>3.1.1.</t>
  </si>
  <si>
    <t>3.1.2.</t>
  </si>
  <si>
    <t>3.1.3.</t>
  </si>
  <si>
    <t>3.1.4.</t>
  </si>
  <si>
    <t>3.1.5.</t>
  </si>
  <si>
    <t>3.2.1.</t>
  </si>
  <si>
    <t>3.2.2.</t>
  </si>
  <si>
    <t>3.3.1.</t>
  </si>
  <si>
    <t>4.1.1.</t>
  </si>
  <si>
    <t>4.1.2.</t>
  </si>
  <si>
    <t>4.2.1.</t>
  </si>
  <si>
    <t>4.2.1.1.</t>
  </si>
  <si>
    <t>4.2.1.2.</t>
  </si>
  <si>
    <t>5.1.1.</t>
  </si>
  <si>
    <t>5.2.1.</t>
  </si>
  <si>
    <t>5.2.2.</t>
  </si>
  <si>
    <t>5.2.3.</t>
  </si>
  <si>
    <t>5.2.4.</t>
  </si>
  <si>
    <t>5.2.5.</t>
  </si>
  <si>
    <t>5.2.6.</t>
  </si>
  <si>
    <t>5.2.7.</t>
  </si>
  <si>
    <t>Пополнение и обновление цифрового картографического материала, включая данные дистанционного зондирования Земли сверхвысокого и высокого линейного разрешения на территории Приморского края</t>
  </si>
  <si>
    <t>5.3.1.</t>
  </si>
  <si>
    <t>6.1.1.</t>
  </si>
  <si>
    <t>6.2.1.</t>
  </si>
  <si>
    <t>6.2.1.1.</t>
  </si>
  <si>
    <t>6.2.1.2.</t>
  </si>
  <si>
    <t>6.3.1.</t>
  </si>
  <si>
    <t>6.3.1.1.</t>
  </si>
  <si>
    <t>6.3.1.2.</t>
  </si>
  <si>
    <t>6.3.2.</t>
  </si>
  <si>
    <t>6.3.3.</t>
  </si>
  <si>
    <t>6.3.3.1.</t>
  </si>
  <si>
    <t>6.3.3.2.</t>
  </si>
  <si>
    <t>6.3.4.</t>
  </si>
  <si>
    <t>6.3.5.</t>
  </si>
  <si>
    <t>6.4.1.</t>
  </si>
  <si>
    <t>1122145</t>
  </si>
  <si>
    <t>6.4.2.</t>
  </si>
  <si>
    <t>Исполнение решений, принятых судебными органами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Надеждинского муниципального района</t>
  </si>
  <si>
    <t>119</t>
  </si>
  <si>
    <t>Информирование населения о реализации государственных программ Приморского края, социально значимых проектов и мероприятий в Приморском крае в электронных средствах массовой информации</t>
  </si>
  <si>
    <t>Информирование населения о реализации государственных программ Приморского края, социально значимых проектов и мероприятий в Приморском крае в печатных средствах массовой информации</t>
  </si>
  <si>
    <t>6.2.2.</t>
  </si>
  <si>
    <t>Информирование населения о реализации государственных программ Приморского края, социально значимых проектов и мероприятий в Приморском крае в средствах массовой информации</t>
  </si>
  <si>
    <t>Информирование населения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 краевым государственным бюджетным учреждением «Общественное телевидение Приморья»</t>
  </si>
  <si>
    <t>1160370590</t>
  </si>
  <si>
    <t>Информирование населения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 публикация нормативно-правовых актов краевым государственным автономным учреждением «Редакция газеты «Приморская газета: официальное издание органов государственной власти Приморского края»</t>
  </si>
  <si>
    <t>Предоставление субсидий из бюджета Приморского края организациям, осуществляющим деятельность в сфере производства и распространения социально значимой продукции средств массовой информации, печатной продукции, а также проведение социально значимых мероприятий в области массовых коммуникаций и информационного обеспечения населения Приморского края</t>
  </si>
  <si>
    <t>1150222750</t>
  </si>
  <si>
    <t>763</t>
  </si>
  <si>
    <t>758</t>
  </si>
  <si>
    <t>1110270610</t>
  </si>
  <si>
    <t>4.1.3.</t>
  </si>
  <si>
    <t>1140122970</t>
  </si>
  <si>
    <t>3.2.3.</t>
  </si>
  <si>
    <t>3.2.4.</t>
  </si>
  <si>
    <t>5.</t>
  </si>
  <si>
    <t>Подпрограмма № 6 «Информирование населения Приморского края о реализации государственных программ Приморского края и социально значимых проектах и мероприятиях в Приморском крае»</t>
  </si>
  <si>
    <t>Подпрограмма № 5 «Использование результатов космической деятельности и современных геоинформационных технологий в интересах социально-экономического развития Приморского края»</t>
  </si>
  <si>
    <t>6.2.3.</t>
  </si>
  <si>
    <t>6.2.4.</t>
  </si>
  <si>
    <t>6.2.5.</t>
  </si>
  <si>
    <t>6.3.4.1.</t>
  </si>
  <si>
    <t>6.3.4.2.</t>
  </si>
  <si>
    <t>6.3.4.3.</t>
  </si>
  <si>
    <t>Освещение  деятельности органов государственной власти Приморского края краевым государственным автономным учреждением Приморского края «Приморский телевизионный центр»</t>
  </si>
  <si>
    <t>620</t>
  </si>
  <si>
    <t>Подпрограмма № 2 «Развитие информационных систем и информационных сервисов для жителей Приморского края, формирование электронного правительства»</t>
  </si>
  <si>
    <t>1160429050</t>
  </si>
  <si>
    <t xml:space="preserve">Информирование населения о реализации государственных программ Приморского края, социально значимых проектов и мероприятий в Приморском крае в средствах массовой информации
</t>
  </si>
  <si>
    <t xml:space="preserve">Информирование населения о реализации государственных программ Приморского края, социально значимых проектов и мероприятий в Приморском крае в электронных средствах массовой информации
</t>
  </si>
  <si>
    <t xml:space="preserve">Информирование населения о реализации государственных программ Приморского края, социально значимых проектов и мероприятий в Приморском крае в печатных средствах массовой информации
</t>
  </si>
  <si>
    <t>6.4.3.</t>
  </si>
  <si>
    <t>1160400000</t>
  </si>
  <si>
    <t>5225200</t>
  </si>
  <si>
    <t>610</t>
  </si>
  <si>
    <t>1160300000</t>
  </si>
  <si>
    <t>1160200000</t>
  </si>
  <si>
    <t>1150300000</t>
  </si>
  <si>
    <t>1150200000</t>
  </si>
  <si>
    <t>1150100000</t>
  </si>
  <si>
    <t>1150000000</t>
  </si>
  <si>
    <t>1160000000</t>
  </si>
  <si>
    <t>1160100000</t>
  </si>
  <si>
    <t>755
758
763</t>
  </si>
  <si>
    <t>520</t>
  </si>
  <si>
    <t>Х</t>
  </si>
  <si>
    <t>Основное мероприятие 2. Реализация проекта  по внедрению универсальной электронной карты  на территории Приморского края</t>
  </si>
  <si>
    <t>Основное мероприятие 1. Создание и обеспечение функционирования среды электронного взаимодействия государственных органов Приморского края:</t>
  </si>
  <si>
    <t>Основное мероприятие 2. Организация предоставления государственных и муниципальных услуг в многофункциональных центрах Приморского края</t>
  </si>
  <si>
    <t>Основное мероприятие 1. Формирование единого информационно-коммуникационного пространства отрасли образования в Приморском крае</t>
  </si>
  <si>
    <t>Основное мероприятие 2. Формирование единого информационно-коммуникационного пространства социальной инфраструктуры Приморского края</t>
  </si>
  <si>
    <t>Основное мероприятие 3. Формирование единого информационно-коммуникационного пространства в сфере экономической политики Приморсокого края</t>
  </si>
  <si>
    <t>Основное мероприятие 1. Управление развитием информационного общества</t>
  </si>
  <si>
    <t>Основное мероприятие 2. Обслуживание информационно-коммуникационной инфраструктуры органов государственной власти Приморского края</t>
  </si>
  <si>
    <t>Основное мероприятие 1. Формирование инфраструктуры пространственных данных Приморского края</t>
  </si>
  <si>
    <t>Основное мероприятие 3. Актуализация цифрового картографического материала на территории Приморского края</t>
  </si>
  <si>
    <t>Основное мероприятие 4. Мониторинг исполнения требований законодательства о рекламе в сфере размещения  и эксплуатации наружных рекламных конструкций</t>
  </si>
  <si>
    <t>»</t>
  </si>
  <si>
    <t xml:space="preserve">» 
</t>
  </si>
  <si>
    <t>Поставка компьютерного и телекоммуникационного оборудования, оргтехники, программного обеспечения в рамках мероприятия по созданию многофункциональных центров предоставления государственных и муниципальных услуг в Приморском крае</t>
  </si>
  <si>
    <t>Внедрение инновационных комплексов электронных образовательных ресурсов (ЭОР) и электронных учебников для учащихся начальной и основной школы</t>
  </si>
  <si>
    <t>Внедрение и поддержка инфраструктуры доступа к электронным образовательным системам для обеспечения дистанционного обучения детей с ограниченными возможностями здоровья</t>
  </si>
  <si>
    <t>Внедрение и использование информационно-коммуникационных технологий в деятельности органов государственной власти Приморского края краевым государственным бюджетным учреждением «Информационно-технологический центр Приморского края» (далее – «ИТЦ Приморского края»)</t>
  </si>
  <si>
    <t>Основное мероприятие 1. Формирование  системы межведомственного электронного взаимодействия органов государственной власти Приморского края и органов местного самоуправления</t>
  </si>
  <si>
    <t xml:space="preserve">
Подпрограмма № 1 «Развитие телекоммуникационной инфраструктуры органов государственной власти Приморского края и органов местного самоуправления»</t>
  </si>
  <si>
    <t xml:space="preserve">Развитие регионального  телекоммуникационного центра, включая централизованную систему  организационно-технического администрирования  телекоммуникационной инфраструктуры и информационных  подсистем «электронного правительства» Приморского края; 
предоставление услуг по поддержке и администрированию региональных и 
муниципальных информационных систем
</t>
  </si>
  <si>
    <t>Наименование подпрограммы, программы, принятой в соответствии с требованиями федерального законодательства в сфере реализации государственной программы</t>
  </si>
  <si>
    <t xml:space="preserve">
1.2.2.</t>
  </si>
  <si>
    <t xml:space="preserve">
Создание системы космического мониторинга выявления нарушений в сфере лесного хозяйства</t>
  </si>
  <si>
    <t>всего</t>
  </si>
  <si>
    <t xml:space="preserve">
1.1.1.1.</t>
  </si>
  <si>
    <t xml:space="preserve">о ресурсном обеспечении реализации государственной программы Приморского края 
«Информационное общество» на 2013 - 2020 годы
за счет средств краевого бюджета (тыс. руб.)
 </t>
  </si>
  <si>
    <t xml:space="preserve">о ресурсном обеспечении государственной программы Приморского края «Информационное общество» на 2013-2020 годы за счет средств краевого бюджета и прогнозная оценка привлекаемых на реализацию ее целей средств федерального бюджета, бюджетов государственных внебюджетных фондов, иных внебюджетных источников, бюджетов муниципальных образований Приморского края в случае участия Приморского края в реализации муниципальных программ, аналогичных мероприятиям государственной программы Приморского края
 </t>
  </si>
  <si>
    <t xml:space="preserve">
Обеспечение деятельности краевого государственного бюджетного учреждения «Центр занятости населения
города Владивостока» в части использования сервисов информационной системы и организации пунктов приема заявлений по выдаче, выпуску и обслуживанию универсальных электронных карт в Приморском крае</t>
  </si>
  <si>
    <t xml:space="preserve">
Создание и развитие государственной информационной системы учета сдачи леса на пунктах приемки древесины</t>
  </si>
  <si>
    <t xml:space="preserve">
Исполнение решений, принятых судебными органами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Надеждинского муниципального района</t>
  </si>
  <si>
    <t xml:space="preserve">
Развитие системы Интернет-сайтов и информационной поддержки государственных органов Приморского  края и органов местного самоуправления на основе «единой точки входа»</t>
  </si>
  <si>
    <t>Предоставление субсидий из  краевого бюджета бюджетам муниципальных образований Приморского края на мероприятия по программно-техническому обслуживанию сети доступа к сети Интернет муниципальных общеобразовательных организаций, включая оплату трафика</t>
  </si>
  <si>
    <t>Оказание услуг по развитию функциональных возможностей 
геоаналитической  системы «Агроуправление» с использованием данных дистанционного зондирования земли</t>
  </si>
  <si>
    <t>Предоставление субсидий из  краевого бюджета бюджетам
муниципальных образований
Приморского края на
мероприятия по программно-
техническому обслуживанию сети
доступа к сети Интернет
муниципальных
общеобразовательных
организаций, включая оплату трафика</t>
  </si>
  <si>
    <t>6.3.6.</t>
  </si>
  <si>
    <t>6.4.4.</t>
  </si>
  <si>
    <t>Обеспечение полномочий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и
Надеждинского муниципального района</t>
  </si>
  <si>
    <t>Основное мероприятие 1. Реализация государственной информационной политики в Приморском крае</t>
  </si>
  <si>
    <t>Основное мероприятие 2. Информирование населения Приморского края</t>
  </si>
  <si>
    <t>1160370420</t>
  </si>
  <si>
    <t>613</t>
  </si>
  <si>
    <t>623</t>
  </si>
  <si>
    <t>6.4.4.1.</t>
  </si>
  <si>
    <t>6.4.4.2.</t>
  </si>
  <si>
    <t>6.4.4.3.</t>
  </si>
  <si>
    <t>1.3.1.</t>
  </si>
  <si>
    <t>Основное мероприятие 3. Обеспечение доступности для населения Приморского края и организаций современных услуг в сфере информационно-коммуникационных технологий</t>
  </si>
  <si>
    <t>4.1.4.</t>
  </si>
  <si>
    <t>1.2.7.</t>
  </si>
  <si>
    <t xml:space="preserve">департамент градостроительства Приморского края     </t>
  </si>
  <si>
    <t>департамент градостроительства  Приморского края</t>
  </si>
  <si>
    <t>755
758
763 775</t>
  </si>
  <si>
    <t>Разработка концепции региональной информатизации Приморского края и дорожной карты реализации концепции</t>
  </si>
  <si>
    <t>1140123060</t>
  </si>
  <si>
    <t>Предоставление субсидий из краевого бюджета в виде грантов бюджетным и автономным учреждениям, осуществляющим деятельность в сфере производства и распространения социально значимой продукции средств массовой информации</t>
  </si>
  <si>
    <t>Основное мероприятие 2. Создание отраслевых региональных информационных систем управления с использованием результатов космической деятельности</t>
  </si>
  <si>
    <t>1160423100</t>
  </si>
  <si>
    <t>755
758
763     775</t>
  </si>
  <si>
    <t>Предоставление из краевого бюджета бюджетам муниципальных образований Приморского края иных межбюджетных трансфертов на выплату гранта победителям конкурса «Лучший муниципальный многофункциональный центр Приморского края»</t>
  </si>
  <si>
    <t xml:space="preserve">Государственная программа Приморского края «Информационное общество» на
2013 – 2020 годы
</t>
  </si>
  <si>
    <t>Основное мероприятие 3. Обеспечение доступа граждан к информации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t>
  </si>
  <si>
    <t>Выполнение функций краевым государственным казенным учреждением Приморского края «Приморский краевой центр производства социально значимой информации» по обеспечению доступа граждан к информации о реализации государственных программ Приморского края, проведении социально значимых мероприятий, распространению информации в средствах массовой информации, информационно-телекоммуникационной сети Интернет, иных носителях информации</t>
  </si>
  <si>
    <t xml:space="preserve">
Обеспечение функционирования единого краевого электронного образовательного интернет-портала "Электронная школа Приморья"</t>
  </si>
  <si>
    <t>Государственная программа «Информационное общество» на
2013 – 2020 годы</t>
  </si>
  <si>
    <t>Развитие системы интернет-сайтов и информационной поддержки государственных органов Приморского  края и органов местного самоуправления на основе «единой точки входа»</t>
  </si>
  <si>
    <t>департамент информатизации и 
телекоммуникации Приморского края</t>
  </si>
  <si>
    <t>Обеспечение доступности для населения Приморского края и организаций современных услуг в сфере информационно-коммуникационных технологий, в том числе создание центров общественного доступа к официальным сайтам государственных органов в местах приема граждан и других публичных местах</t>
  </si>
  <si>
    <t>Обеспечение доступности для населения Приморского края и организаций 
современных услуг в сфере информационно-коммуникационных технологий, в том числе  создание центров общественного доступа к официальным сайтам государственных органов в местах приема граждан и других публичных местах (инфоматы)</t>
  </si>
  <si>
    <t xml:space="preserve">
Внедрение и использование информационно-коммуникационных технологий в деятельности органов 
государственной власти Приморского края краевым государственным бюджетным учреждением «Информационно-технологический центр Приморского края» (далее – КГБУ «ИТЦ Приморского края»)</t>
  </si>
  <si>
    <t xml:space="preserve">Предоставление субсидии на финансовое обеспечение выполнения государственного задания  КГБУ «ИТЦ Приморского края»  </t>
  </si>
  <si>
    <t>Предоставление субсидии КГБУ «ИТЦ Приморского края» на иные цели, не связанные с финансовым обеспечением выполнения государственного задания</t>
  </si>
  <si>
    <t xml:space="preserve">Предоставление субсидии на финансовое обеспечение выполнения государственного задания КГБУ «ИТЦ Приморского края» </t>
  </si>
  <si>
    <t>Предоставление субсидии по укреплению  материально технической базы краевому государственному автономному учреждению Приморского края «Приморский телевизионный центр»</t>
  </si>
  <si>
    <t>Подпрограмма 5 «Использование результатов космической деятельности и современных геоинформационных технологий в интересах социально-экономического развития Приморского края»</t>
  </si>
  <si>
    <t>1110294020</t>
  </si>
  <si>
    <t>Развитие регионального  телекоммуникационного центра, включая централизованную систему  организационно-технического администрирования  телекоммуникационной инфраструктуры и информационных подсистем «электронного правительства» Приморского края; предоставление услуг по поддержке и администрированию региональных и муниципальных информационных систем</t>
  </si>
  <si>
    <t>департамент экономики и развития предпринимательст-ва Приморского края</t>
  </si>
  <si>
    <t>120
240
850</t>
  </si>
  <si>
    <t>Предоставление субсидии на укрепление материально-технической базы краевому
 государственному автономному учреждению «Редакция газеты «Приморская газета: официальное издание органов государственной власти Приморского края»</t>
  </si>
  <si>
    <t>департамент градостроительст-ва  Приморского края</t>
  </si>
  <si>
    <r>
      <rPr>
        <b/>
        <sz val="13"/>
        <color indexed="8"/>
        <rFont val="Arial"/>
        <family val="2"/>
        <charset val="204"/>
      </rPr>
      <t xml:space="preserve">Основное мероприятие 2. </t>
    </r>
    <r>
      <rPr>
        <sz val="13"/>
        <color indexed="8"/>
        <rFont val="Arial"/>
        <family val="2"/>
        <charset val="204"/>
      </rPr>
      <t>Организация предоставления государственных и муниципальных услуг в многофункциональных центрах Приморского края</t>
    </r>
  </si>
  <si>
    <r>
      <rPr>
        <b/>
        <sz val="13"/>
        <rFont val="Arial"/>
        <family val="2"/>
        <charset val="204"/>
      </rPr>
      <t>Основное мероприятие 3.</t>
    </r>
    <r>
      <rPr>
        <sz val="13"/>
        <rFont val="Arial"/>
        <family val="2"/>
        <charset val="204"/>
      </rPr>
      <t xml:space="preserve"> </t>
    </r>
    <r>
      <rPr>
        <sz val="13"/>
        <color indexed="8"/>
        <rFont val="Arial"/>
        <family val="2"/>
        <charset val="204"/>
      </rPr>
      <t>Обеспечение доступности для населения Приморского края и организаций современных услуг в сфере информационно-коммуникационных технологий</t>
    </r>
  </si>
  <si>
    <r>
      <rPr>
        <b/>
        <sz val="13"/>
        <rFont val="Arial"/>
        <family val="2"/>
        <charset val="204"/>
      </rPr>
      <t>Основное мероприятие 1.</t>
    </r>
    <r>
      <rPr>
        <sz val="13"/>
        <rFont val="Arial"/>
        <family val="2"/>
        <charset val="204"/>
      </rPr>
      <t xml:space="preserve"> Создание и обеспечение функционирования среды электронного взаимодействия государственных органов Приморского края</t>
    </r>
  </si>
  <si>
    <r>
      <rPr>
        <b/>
        <sz val="13"/>
        <color indexed="8"/>
        <rFont val="Arial"/>
        <family val="2"/>
        <charset val="204"/>
      </rPr>
      <t>Основное мероприятие 2.</t>
    </r>
    <r>
      <rPr>
        <sz val="13"/>
        <color indexed="8"/>
        <rFont val="Arial"/>
        <family val="2"/>
        <charset val="204"/>
      </rPr>
      <t xml:space="preserve"> Реализация проекта по внедрению универсальной электронной карты на территории Приморского края</t>
    </r>
  </si>
  <si>
    <r>
      <rPr>
        <b/>
        <sz val="13"/>
        <color indexed="8"/>
        <rFont val="Arial"/>
        <family val="2"/>
        <charset val="204"/>
      </rPr>
      <t>Основное мероприятие 2.</t>
    </r>
    <r>
      <rPr>
        <sz val="13"/>
        <color indexed="8"/>
        <rFont val="Arial"/>
        <family val="2"/>
        <charset val="204"/>
      </rPr>
      <t xml:space="preserve"> Формирование единого информационно-коммуникационного пространства социальной инфраструктуры Приморского края</t>
    </r>
  </si>
  <si>
    <r>
      <rPr>
        <b/>
        <sz val="13"/>
        <rFont val="Arial"/>
        <family val="2"/>
        <charset val="204"/>
      </rPr>
      <t>Основное мероприятие 3.</t>
    </r>
    <r>
      <rPr>
        <sz val="13"/>
        <rFont val="Arial"/>
        <family val="2"/>
        <charset val="204"/>
      </rPr>
      <t xml:space="preserve"> Формирование единого информационно-коммуникационного пространства в сфере экономической политики Приморсокого края</t>
    </r>
  </si>
  <si>
    <r>
      <rPr>
        <b/>
        <sz val="13"/>
        <rFont val="Arial"/>
        <family val="2"/>
        <charset val="204"/>
      </rPr>
      <t>Основное мероприятие 1.</t>
    </r>
    <r>
      <rPr>
        <sz val="13"/>
        <rFont val="Arial"/>
        <family val="2"/>
        <charset val="204"/>
      </rPr>
      <t xml:space="preserve"> Управление развитием информационного общества</t>
    </r>
  </si>
  <si>
    <r>
      <rPr>
        <b/>
        <sz val="13"/>
        <rFont val="Arial"/>
        <family val="2"/>
        <charset val="204"/>
      </rPr>
      <t>Основное мероприятие 1.</t>
    </r>
    <r>
      <rPr>
        <sz val="13"/>
        <rFont val="Arial"/>
        <family val="2"/>
        <charset val="204"/>
      </rPr>
      <t xml:space="preserve"> Формирование инфраструктуры пространственных данных Приморского края</t>
    </r>
  </si>
  <si>
    <r>
      <rPr>
        <b/>
        <sz val="13"/>
        <color indexed="8"/>
        <rFont val="Arial"/>
        <family val="2"/>
        <charset val="204"/>
      </rPr>
      <t>Основное мероприятие 2.</t>
    </r>
    <r>
      <rPr>
        <sz val="13"/>
        <color indexed="8"/>
        <rFont val="Arial"/>
        <family val="2"/>
        <charset val="204"/>
      </rPr>
      <t xml:space="preserve"> Создание отраслевых региональных информационных систем управления с использованием результатов космической деятельности</t>
    </r>
  </si>
  <si>
    <r>
      <rPr>
        <b/>
        <sz val="13"/>
        <rFont val="Arial"/>
        <family val="2"/>
        <charset val="204"/>
      </rPr>
      <t xml:space="preserve">
Основное мероприятие 3. </t>
    </r>
    <r>
      <rPr>
        <sz val="13"/>
        <rFont val="Arial"/>
        <family val="2"/>
        <charset val="204"/>
      </rPr>
      <t>Актуализация цифрового картографического материала на территории Приморского края</t>
    </r>
  </si>
  <si>
    <t xml:space="preserve">
Предоставление субсидий краевым государственным автономным учреждениям на финансовое обеспечение выполнения государственного задания</t>
  </si>
  <si>
    <t xml:space="preserve">
1.2.4.
</t>
  </si>
  <si>
    <t xml:space="preserve">
Предоставление из краевого бюджета бюджетам муниципальных образований Приморского края иных межбюджетных трансфертов,
источником финансового обеспечения которых являются иные межбюджетные трансферты из федерального бюджета на завершение работ по созданию сети многофункциональных центров предоставления государственных и муниципальных услуг 
</t>
  </si>
  <si>
    <r>
      <rPr>
        <b/>
        <sz val="13"/>
        <rFont val="Arial"/>
        <family val="2"/>
        <charset val="204"/>
      </rPr>
      <t>Основное мероприятие 1.</t>
    </r>
    <r>
      <rPr>
        <sz val="13"/>
        <rFont val="Arial"/>
        <family val="2"/>
        <charset val="204"/>
      </rPr>
      <t xml:space="preserve"> Формирование системы межведомственного электронного взаимодействия органов государственной власти Приморского края и органов 
местного самоуправления
</t>
    </r>
  </si>
  <si>
    <t xml:space="preserve">Предоставление субсидий из краевого бюджета бюджетам муниципальных образований Приморского края на  содержание многофункциональных центров предоставления государственных и муниципальных услуг
</t>
  </si>
  <si>
    <t xml:space="preserve">
Подпрограмма № 2 «Развитие информационных систем и информационных сервисов для жителей Приморского края, формирование электронного правительства»
</t>
  </si>
  <si>
    <t xml:space="preserve">
Модернизация  прикладных информационных систем поддержки выполнения исполнительными органами государственной власти Приморского края и органами местного самоуправления Приморского края основных функций</t>
  </si>
  <si>
    <r>
      <rPr>
        <b/>
        <sz val="13"/>
        <rFont val="Arial"/>
        <family val="2"/>
        <charset val="204"/>
      </rPr>
      <t xml:space="preserve">
Основное мероприятие 1.</t>
    </r>
    <r>
      <rPr>
        <sz val="13"/>
        <rFont val="Arial"/>
        <family val="2"/>
        <charset val="204"/>
      </rPr>
      <t xml:space="preserve"> Формирование единого информационно-коммуникационного пространства отрасли образования в Приморском крае</t>
    </r>
  </si>
  <si>
    <t xml:space="preserve">
Создание целевой системы мониторинга и управления ключевыми отраслями экономики и территориями Приморского края</t>
  </si>
  <si>
    <t>Проведение инвентаризации и мониторинга земель 
сельскохозяйственного и другого назначения, агрономического учета, организация оперативного учета полевых работ с применением систем спутниковой навигации ГЛОНАСС/GPS</t>
  </si>
  <si>
    <t>Обеспечение жителей Приморского края информацией о мероприятиях, проводимых органами исполнительной власти Приморского края и 
Администрацией Приморского края в честь праздничных дат Российской Федерации и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t>
  </si>
  <si>
    <t xml:space="preserve">
Информирование населения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 краевым государственным бюджетным учреждением «Общественное телевидение Приморья»</t>
  </si>
  <si>
    <t xml:space="preserve">Предоставление субсидии на укрепление материально - технической базы краевому государственному бюджетному учреждению «Общественное телевидение Приморья»
</t>
  </si>
  <si>
    <t xml:space="preserve">
Освещение  деятельности органов государственной власти Приморского края краевым государственным автономным учреждением Приморского края «Приморский телевизионный центр»</t>
  </si>
  <si>
    <t xml:space="preserve">Выполнение функций краевым государственным казенным учреждением Приморского края «Приморская реклама и информация»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и Надеждинского муниципального района
</t>
  </si>
  <si>
    <t xml:space="preserve">
Изготовление и размещение щитов наружной рекламы на тему военно-патриотического воспитания молодежи</t>
  </si>
  <si>
    <t xml:space="preserve">5.2.5.
</t>
  </si>
  <si>
    <t xml:space="preserve">6.2.2.
</t>
  </si>
  <si>
    <t>779    755</t>
  </si>
  <si>
    <t>779   755</t>
  </si>
  <si>
    <t>6.2.6.</t>
  </si>
  <si>
    <t>Размещение социальной рекламы на объектах наружной рекламы, расположенных на территории Приморского края</t>
  </si>
  <si>
    <t>1160398730</t>
  </si>
  <si>
    <t>814</t>
  </si>
  <si>
    <t>1160398720</t>
  </si>
  <si>
    <t>852</t>
  </si>
  <si>
    <t xml:space="preserve">департамент информатизации и телекоммуникаций Приморского края    </t>
  </si>
  <si>
    <t xml:space="preserve">
Проведение дальневосточного форума информационно-коммуникационных технологий ДАЛЬИНФОКОМ</t>
  </si>
  <si>
    <t>Проведение дальневосточного форума информационно-коммуникационных технологий ДАЛЬИНФОКОМ</t>
  </si>
  <si>
    <r>
      <rPr>
        <b/>
        <sz val="13"/>
        <rFont val="Arial"/>
        <family val="2"/>
        <charset val="204"/>
      </rPr>
      <t>Основное мероприятие 2.</t>
    </r>
    <r>
      <rPr>
        <sz val="13"/>
        <rFont val="Arial"/>
        <family val="2"/>
        <charset val="204"/>
      </rPr>
      <t xml:space="preserve"> Обслуживание информационно-коммуникационной инфраструктуры органов государственной власти Приморского края
</t>
    </r>
  </si>
  <si>
    <t xml:space="preserve">
Предоставление субсидии на осуществление мероприятий по ликвидации краевого государственного автономного учреждения Приморского края «Приморский телевизионный центр»</t>
  </si>
  <si>
    <t xml:space="preserve">
6.3.4.3.</t>
  </si>
  <si>
    <t xml:space="preserve">
Предоставление субсидии на финансовое
обеспечение  выполнения государственного задания  краевому государственному автономному учреждению Приморского края «Приморский телевизионный центр»</t>
  </si>
  <si>
    <t xml:space="preserve">
6.3.4.1.</t>
  </si>
  <si>
    <r>
      <t xml:space="preserve">
Основное мероприятие 4.</t>
    </r>
    <r>
      <rPr>
        <sz val="13"/>
        <color indexed="8"/>
        <rFont val="Arial"/>
        <family val="2"/>
        <charset val="204"/>
      </rPr>
      <t xml:space="preserve"> Мониторинг исполнения требований законодательства о рекламе в сфере размещения  и эксплуатации наружных рекламных конструкций</t>
    </r>
  </si>
  <si>
    <t xml:space="preserve">
6.4.</t>
  </si>
  <si>
    <t xml:space="preserve">
Проведение краевого творческого конкурса среди средств массовой информации Приморского края на лучший материал, освещающий тему допризывной подготовки молодежи к службе в армии</t>
  </si>
  <si>
    <t xml:space="preserve">
6.4.4.1.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</si>
</sst>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49" x14ac:knownFonts="1">
    <font>
      <sz val="14"/>
      <color theme="1"/>
      <name val="Times New Roman"/>
      <family val="2"/>
      <charset val="204"/>
    </font>
    <font>
      <sz val="11"/>
      <color theme="1"/>
      <name val="Calibri"/>
      <family val="2"/>
      <charset val="204"/>
      <scheme val="minor"/>
    </font>
    <font>
      <sz val="11"/>
      <color indexed="8"/>
      <name val="Times New Roman"/>
      <family val="2"/>
      <charset val="204"/>
    </font>
    <font>
      <sz val="11"/>
      <name val="Times New Roman"/>
      <family val="2"/>
      <charset val="204"/>
    </font>
    <font>
      <sz val="11"/>
      <color indexed="62"/>
      <name val="Times New Roman"/>
      <family val="2"/>
      <charset val="204"/>
    </font>
    <font>
      <b/>
      <sz val="10"/>
      <color indexed="10"/>
      <name val="Times New Roman"/>
      <family val="1"/>
      <charset val="204"/>
    </font>
    <font>
      <b/>
      <sz val="10"/>
      <name val="Times New Roman"/>
      <family val="1"/>
      <charset val="204"/>
    </font>
    <font>
      <sz val="12"/>
      <color indexed="8"/>
      <name val="Times New Roman"/>
      <family val="1"/>
      <charset val="204"/>
    </font>
    <font>
      <b/>
      <sz val="12"/>
      <color indexed="8"/>
      <name val="Times New Roman"/>
      <family val="1"/>
      <charset val="204"/>
    </font>
    <font>
      <b/>
      <sz val="16"/>
      <name val="Times New Roman"/>
      <family val="1"/>
      <charset val="204"/>
    </font>
    <font>
      <sz val="16"/>
      <name val="Times New Roman"/>
      <family val="1"/>
      <charset val="204"/>
    </font>
    <font>
      <b/>
      <sz val="16"/>
      <color indexed="10"/>
      <name val="Times New Roman"/>
      <family val="1"/>
      <charset val="204"/>
    </font>
    <font>
      <sz val="16"/>
      <color indexed="8"/>
      <name val="Times New Roman"/>
      <family val="1"/>
      <charset val="204"/>
    </font>
    <font>
      <sz val="16"/>
      <color indexed="8"/>
      <name val="Times New Roman"/>
      <family val="1"/>
      <charset val="204"/>
    </font>
    <font>
      <b/>
      <sz val="11"/>
      <color indexed="8"/>
      <name val="Times New Roman"/>
      <family val="1"/>
      <charset val="204"/>
    </font>
    <font>
      <sz val="11"/>
      <color indexed="8"/>
      <name val="Times New Roman"/>
      <family val="2"/>
      <charset val="204"/>
    </font>
    <font>
      <b/>
      <sz val="12"/>
      <name val="Times New Roman"/>
      <family val="1"/>
      <charset val="204"/>
    </font>
    <font>
      <sz val="11"/>
      <name val="Times New Roman"/>
      <family val="1"/>
      <charset val="204"/>
    </font>
    <font>
      <sz val="14"/>
      <color indexed="8"/>
      <name val="Times New Roman"/>
      <family val="2"/>
      <charset val="204"/>
    </font>
    <font>
      <sz val="14"/>
      <name val="Times New Roman"/>
      <family val="1"/>
      <charset val="204"/>
    </font>
    <font>
      <b/>
      <sz val="11"/>
      <name val="Times New Roman"/>
      <family val="1"/>
      <charset val="204"/>
    </font>
    <font>
      <sz val="14"/>
      <name val="Times New Roman"/>
      <family val="2"/>
      <charset val="204"/>
    </font>
    <font>
      <sz val="24"/>
      <name val="Times New Roman"/>
      <family val="2"/>
      <charset val="204"/>
    </font>
    <font>
      <sz val="26"/>
      <name val="Times New Roman"/>
      <family val="1"/>
      <charset val="204"/>
    </font>
    <font>
      <b/>
      <sz val="26"/>
      <name val="Times New Roman"/>
      <family val="1"/>
      <charset val="204"/>
    </font>
    <font>
      <sz val="24"/>
      <name val="Times New Roman"/>
      <family val="1"/>
      <charset val="204"/>
    </font>
    <font>
      <b/>
      <sz val="24"/>
      <name val="Times New Roman"/>
      <family val="1"/>
      <charset val="204"/>
    </font>
    <font>
      <b/>
      <sz val="12"/>
      <name val="Arial"/>
      <family val="2"/>
      <charset val="204"/>
    </font>
    <font>
      <b/>
      <sz val="14"/>
      <color indexed="8"/>
      <name val="Arial"/>
      <family val="2"/>
      <charset val="204"/>
    </font>
    <font>
      <b/>
      <sz val="11"/>
      <color indexed="8"/>
      <name val="Arial"/>
      <family val="2"/>
      <charset val="204"/>
    </font>
    <font>
      <b/>
      <sz val="16"/>
      <name val="Arial"/>
      <family val="2"/>
      <charset val="204"/>
    </font>
    <font>
      <sz val="11"/>
      <name val="Arial"/>
      <family val="2"/>
      <charset val="204"/>
    </font>
    <font>
      <sz val="11"/>
      <color indexed="8"/>
      <name val="Arial"/>
      <family val="2"/>
      <charset val="204"/>
    </font>
    <font>
      <sz val="14"/>
      <name val="Arial"/>
      <family val="2"/>
      <charset val="204"/>
    </font>
    <font>
      <sz val="14"/>
      <color theme="1"/>
      <name val="Arial"/>
      <family val="2"/>
      <charset val="204"/>
    </font>
    <font>
      <b/>
      <sz val="13"/>
      <name val="Arial"/>
      <family val="2"/>
      <charset val="204"/>
    </font>
    <font>
      <b/>
      <sz val="13"/>
      <name val="Times New Roman"/>
      <family val="1"/>
      <charset val="204"/>
    </font>
    <font>
      <b/>
      <sz val="13"/>
      <color indexed="10"/>
      <name val="Times New Roman"/>
      <family val="1"/>
      <charset val="204"/>
    </font>
    <font>
      <b/>
      <sz val="13"/>
      <color indexed="8"/>
      <name val="Times New Roman"/>
      <family val="1"/>
      <charset val="204"/>
    </font>
    <font>
      <sz val="13"/>
      <color theme="1"/>
      <name val="Arial"/>
      <family val="2"/>
      <charset val="204"/>
    </font>
    <font>
      <sz val="13"/>
      <name val="Times New Roman"/>
      <family val="2"/>
      <charset val="204"/>
    </font>
    <font>
      <sz val="13"/>
      <name val="Arial"/>
      <family val="2"/>
      <charset val="204"/>
    </font>
    <font>
      <sz val="13"/>
      <color indexed="8"/>
      <name val="Arial"/>
      <family val="2"/>
      <charset val="204"/>
    </font>
    <font>
      <b/>
      <sz val="13"/>
      <color indexed="8"/>
      <name val="Arial"/>
      <family val="2"/>
      <charset val="204"/>
    </font>
    <font>
      <sz val="13"/>
      <color indexed="8"/>
      <name val="Times New Roman"/>
      <family val="2"/>
      <charset val="204"/>
    </font>
    <font>
      <sz val="13"/>
      <name val="Times New Roman"/>
      <family val="1"/>
      <charset val="204"/>
    </font>
    <font>
      <sz val="13"/>
      <color indexed="62"/>
      <name val="Times New Roman"/>
      <family val="2"/>
      <charset val="204"/>
    </font>
    <font>
      <sz val="13"/>
      <color theme="1"/>
      <name val="Times New Roman"/>
      <family val="2"/>
      <charset val="204"/>
    </font>
    <font>
      <sz val="13"/>
      <color indexed="8"/>
      <name val="Times New Roman"/>
      <family val="1"/>
      <charset val="204"/>
    </font>
  </fonts>
  <fills count="3">
    <fill>
      <patternFill patternType="none"/>
    </fill>
    <fill>
      <patternFill patternType="gray125"/>
    </fill>
    <fill>
      <patternFill patternType="solid">
        <fgColor theme="0"/>
        <bgColor indexed="64"/>
      </patternFill>
    </fill>
  </fills>
  <borders count="3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s>
  <cellStyleXfs count="2">
    <xf numFmtId="0" fontId="0" fillId="0" borderId="0"/>
    <xf numFmtId="0" fontId="1" fillId="0" borderId="0"/>
  </cellStyleXfs>
  <cellXfs count="628">
    <xf numFmtId="0" fontId="0" fillId="0" borderId="0" xfId="0"/>
    <xf numFmtId="0" fontId="2" fillId="0" borderId="0" xfId="0" applyFont="1" applyFill="1"/>
    <xf numFmtId="4" fontId="5" fillId="0" borderId="0" xfId="0" applyNumberFormat="1" applyFont="1" applyFill="1" applyAlignment="1">
      <alignment horizontal="right" vertical="center" wrapText="1"/>
    </xf>
    <xf numFmtId="0" fontId="3" fillId="0" borderId="0" xfId="0" applyFont="1" applyFill="1" applyAlignment="1">
      <alignment horizontal="centerContinuous" vertical="center" wrapText="1"/>
    </xf>
    <xf numFmtId="0" fontId="10" fillId="0" borderId="0" xfId="0" applyFont="1" applyFill="1" applyAlignment="1">
      <alignment horizontal="centerContinuous" vertical="center" wrapText="1"/>
    </xf>
    <xf numFmtId="4" fontId="6" fillId="0" borderId="0" xfId="0" applyNumberFormat="1" applyFont="1" applyFill="1" applyAlignment="1">
      <alignment horizontal="right" vertical="center" wrapText="1"/>
    </xf>
    <xf numFmtId="0" fontId="3" fillId="0" borderId="0" xfId="0" applyFont="1" applyFill="1"/>
    <xf numFmtId="0" fontId="20" fillId="0" borderId="0" xfId="0" applyFont="1" applyFill="1"/>
    <xf numFmtId="0" fontId="21" fillId="0" borderId="0" xfId="0" applyFont="1" applyFill="1" applyAlignment="1">
      <alignment horizontal="right" vertical="top" wrapText="1"/>
    </xf>
    <xf numFmtId="0" fontId="2" fillId="0" borderId="0" xfId="0" applyFont="1" applyFill="1" applyAlignment="1">
      <alignment horizontal="left"/>
    </xf>
    <xf numFmtId="0" fontId="2" fillId="0" borderId="0" xfId="0" applyFont="1" applyFill="1" applyAlignment="1">
      <alignment horizontal="center"/>
    </xf>
    <xf numFmtId="0" fontId="18" fillId="0" borderId="0" xfId="0" applyFont="1" applyFill="1"/>
    <xf numFmtId="0" fontId="0" fillId="0" borderId="0" xfId="0" applyFont="1" applyFill="1"/>
    <xf numFmtId="0" fontId="0" fillId="0" borderId="0" xfId="0" applyFill="1"/>
    <xf numFmtId="0" fontId="13" fillId="0" borderId="0" xfId="0" applyFont="1" applyFill="1"/>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0" fillId="0" borderId="0" xfId="0" applyFill="1" applyBorder="1"/>
    <xf numFmtId="4" fontId="0" fillId="0" borderId="0" xfId="0" applyNumberFormat="1" applyFill="1"/>
    <xf numFmtId="0" fontId="19" fillId="0" borderId="0" xfId="0" applyFont="1" applyFill="1"/>
    <xf numFmtId="0" fontId="17" fillId="0" borderId="0" xfId="0" applyFont="1" applyFill="1"/>
    <xf numFmtId="0" fontId="4" fillId="0" borderId="0" xfId="0" applyFont="1" applyFill="1"/>
    <xf numFmtId="4" fontId="6" fillId="0" borderId="9" xfId="0" applyNumberFormat="1" applyFont="1" applyFill="1" applyBorder="1" applyAlignment="1">
      <alignment horizontal="right" vertical="center" wrapText="1"/>
    </xf>
    <xf numFmtId="4" fontId="5" fillId="0" borderId="9" xfId="0" applyNumberFormat="1" applyFont="1" applyFill="1" applyBorder="1" applyAlignment="1">
      <alignment horizontal="right" vertical="center" wrapText="1"/>
    </xf>
    <xf numFmtId="0" fontId="3" fillId="0" borderId="9" xfId="0" applyFont="1" applyFill="1" applyBorder="1"/>
    <xf numFmtId="4" fontId="6" fillId="0" borderId="0" xfId="0" applyNumberFormat="1" applyFont="1" applyFill="1" applyBorder="1" applyAlignment="1">
      <alignment horizontal="right" vertical="center" wrapText="1"/>
    </xf>
    <xf numFmtId="4" fontId="5" fillId="0" borderId="0" xfId="0" applyNumberFormat="1" applyFont="1" applyFill="1" applyBorder="1" applyAlignment="1">
      <alignment horizontal="right" vertical="center" wrapText="1"/>
    </xf>
    <xf numFmtId="0" fontId="3" fillId="0" borderId="0" xfId="0" applyFont="1" applyFill="1" applyBorder="1"/>
    <xf numFmtId="0" fontId="15" fillId="0" borderId="0" xfId="0" applyFont="1" applyFill="1" applyAlignment="1">
      <alignment horizontal="left"/>
    </xf>
    <xf numFmtId="4" fontId="15" fillId="0" borderId="0" xfId="0" applyNumberFormat="1" applyFont="1" applyFill="1" applyAlignment="1">
      <alignment horizontal="right" vertical="center" wrapText="1"/>
    </xf>
    <xf numFmtId="4" fontId="15" fillId="0" borderId="0" xfId="0" applyNumberFormat="1" applyFont="1" applyFill="1" applyAlignment="1">
      <alignment horizontal="center" vertical="center" wrapText="1"/>
    </xf>
    <xf numFmtId="4" fontId="0" fillId="0" borderId="0" xfId="0" applyNumberFormat="1" applyFill="1" applyAlignment="1">
      <alignment horizontal="right" vertical="center" wrapText="1"/>
    </xf>
    <xf numFmtId="0" fontId="29" fillId="0" borderId="0" xfId="0" applyFont="1" applyFill="1" applyAlignment="1">
      <alignment horizontal="center"/>
    </xf>
    <xf numFmtId="0" fontId="30" fillId="0" borderId="0" xfId="0" applyFont="1" applyFill="1" applyAlignment="1">
      <alignment horizontal="centerContinuous" vertical="top" wrapText="1"/>
    </xf>
    <xf numFmtId="0" fontId="31" fillId="0" borderId="0" xfId="0" applyFont="1" applyFill="1"/>
    <xf numFmtId="0" fontId="32" fillId="0" borderId="0" xfId="0" applyFont="1" applyFill="1"/>
    <xf numFmtId="0" fontId="33" fillId="0" borderId="0" xfId="0" applyFont="1" applyFill="1"/>
    <xf numFmtId="0" fontId="34" fillId="0" borderId="0" xfId="0" applyFont="1" applyFill="1"/>
    <xf numFmtId="0" fontId="28" fillId="0" borderId="0" xfId="0" applyFont="1" applyFill="1"/>
    <xf numFmtId="0" fontId="35" fillId="0" borderId="1" xfId="0" applyFont="1" applyFill="1" applyBorder="1" applyAlignment="1">
      <alignment horizontal="center" vertical="center" wrapText="1"/>
    </xf>
    <xf numFmtId="0" fontId="35" fillId="0" borderId="3" xfId="0" applyFont="1" applyFill="1" applyBorder="1" applyAlignment="1">
      <alignment horizontal="center" vertical="center" wrapText="1"/>
    </xf>
    <xf numFmtId="0" fontId="35" fillId="0" borderId="4" xfId="0" applyFont="1" applyFill="1" applyBorder="1" applyAlignment="1">
      <alignment horizontal="center" vertical="top" wrapText="1"/>
    </xf>
    <xf numFmtId="49" fontId="41" fillId="0" borderId="1" xfId="0" applyNumberFormat="1" applyFont="1" applyFill="1" applyBorder="1" applyAlignment="1">
      <alignment horizontal="center" vertical="center" wrapText="1"/>
    </xf>
    <xf numFmtId="0" fontId="41" fillId="0" borderId="2" xfId="0" applyFont="1" applyFill="1" applyBorder="1" applyAlignment="1">
      <alignment horizontal="center" vertical="center" wrapText="1"/>
    </xf>
    <xf numFmtId="49" fontId="41" fillId="0" borderId="2" xfId="0" applyNumberFormat="1" applyFont="1" applyFill="1" applyBorder="1" applyAlignment="1">
      <alignment horizontal="center" vertical="center" wrapText="1"/>
    </xf>
    <xf numFmtId="49" fontId="35" fillId="0" borderId="2" xfId="0" applyNumberFormat="1" applyFont="1" applyFill="1" applyBorder="1" applyAlignment="1">
      <alignment horizontal="center" vertical="center" wrapText="1"/>
    </xf>
    <xf numFmtId="0" fontId="41" fillId="0" borderId="2" xfId="0" applyFont="1" applyFill="1" applyBorder="1" applyAlignment="1">
      <alignment horizontal="center" vertical="center"/>
    </xf>
    <xf numFmtId="4" fontId="41" fillId="0" borderId="2" xfId="0" applyNumberFormat="1" applyFont="1" applyFill="1" applyBorder="1" applyAlignment="1">
      <alignment vertical="center" wrapText="1"/>
    </xf>
    <xf numFmtId="4" fontId="41" fillId="0" borderId="1" xfId="0" applyNumberFormat="1" applyFont="1" applyFill="1" applyBorder="1" applyAlignment="1">
      <alignment vertical="center" wrapText="1"/>
    </xf>
    <xf numFmtId="4" fontId="42" fillId="0" borderId="21" xfId="0" applyNumberFormat="1" applyFont="1" applyFill="1" applyBorder="1" applyAlignment="1">
      <alignment vertical="center" wrapText="1"/>
    </xf>
    <xf numFmtId="0" fontId="42" fillId="0" borderId="2" xfId="0" applyFont="1" applyFill="1" applyBorder="1" applyAlignment="1">
      <alignment horizontal="center" vertical="center" wrapText="1"/>
    </xf>
    <xf numFmtId="0" fontId="42" fillId="0" borderId="4" xfId="0" applyFont="1" applyFill="1" applyBorder="1" applyAlignment="1">
      <alignment horizontal="center" vertical="center" wrapText="1"/>
    </xf>
    <xf numFmtId="0" fontId="41" fillId="0" borderId="13" xfId="0" applyFont="1" applyFill="1" applyBorder="1" applyAlignment="1">
      <alignment horizontal="center" vertical="center" wrapText="1"/>
    </xf>
    <xf numFmtId="4" fontId="41" fillId="0" borderId="20" xfId="0" applyNumberFormat="1" applyFont="1" applyFill="1" applyBorder="1" applyAlignment="1">
      <alignment vertical="center" wrapText="1"/>
    </xf>
    <xf numFmtId="0" fontId="35" fillId="0" borderId="2" xfId="0" applyFont="1" applyFill="1" applyBorder="1" applyAlignment="1">
      <alignment horizontal="left" vertical="center" wrapText="1"/>
    </xf>
    <xf numFmtId="0" fontId="43" fillId="0" borderId="3" xfId="0" applyFont="1" applyFill="1" applyBorder="1" applyAlignment="1">
      <alignment horizontal="center" vertical="center"/>
    </xf>
    <xf numFmtId="0" fontId="47" fillId="0" borderId="0" xfId="0" applyFont="1" applyFill="1"/>
    <xf numFmtId="0" fontId="45" fillId="0" borderId="2" xfId="0" applyFont="1" applyFill="1" applyBorder="1" applyAlignment="1">
      <alignment horizontal="center" vertical="center" wrapText="1"/>
    </xf>
    <xf numFmtId="0" fontId="43" fillId="0" borderId="2" xfId="0" applyFont="1" applyFill="1" applyBorder="1" applyAlignment="1">
      <alignment horizontal="left" vertical="center" wrapText="1"/>
    </xf>
    <xf numFmtId="0" fontId="41" fillId="0" borderId="2" xfId="0" applyFont="1" applyFill="1" applyBorder="1" applyAlignment="1">
      <alignment horizontal="left" vertical="center" wrapText="1"/>
    </xf>
    <xf numFmtId="0" fontId="41" fillId="0" borderId="1" xfId="0" applyFont="1" applyFill="1" applyBorder="1" applyAlignment="1">
      <alignment horizontal="left" vertical="center" wrapText="1"/>
    </xf>
    <xf numFmtId="0" fontId="35" fillId="0" borderId="2" xfId="0" applyFont="1" applyFill="1" applyBorder="1" applyAlignment="1">
      <alignment horizontal="center" vertical="center"/>
    </xf>
    <xf numFmtId="4" fontId="35" fillId="0" borderId="4" xfId="0" applyNumberFormat="1" applyFont="1" applyFill="1" applyBorder="1" applyAlignment="1">
      <alignment horizontal="center" vertical="center" wrapText="1"/>
    </xf>
    <xf numFmtId="0" fontId="35" fillId="0" borderId="2" xfId="0" applyFont="1" applyFill="1" applyBorder="1" applyAlignment="1">
      <alignment horizontal="center" vertical="center" wrapText="1"/>
    </xf>
    <xf numFmtId="0" fontId="35" fillId="0" borderId="13" xfId="0" applyFont="1" applyFill="1" applyBorder="1" applyAlignment="1">
      <alignment horizontal="center" vertical="center" wrapText="1"/>
    </xf>
    <xf numFmtId="4" fontId="41" fillId="0" borderId="4" xfId="0" applyNumberFormat="1" applyFont="1" applyFill="1" applyBorder="1" applyAlignment="1">
      <alignment horizontal="center" vertical="center" wrapText="1"/>
    </xf>
    <xf numFmtId="0" fontId="41" fillId="0" borderId="4" xfId="0" applyFont="1" applyFill="1" applyBorder="1" applyAlignment="1">
      <alignment horizontal="center" vertical="center" wrapText="1"/>
    </xf>
    <xf numFmtId="0" fontId="42" fillId="0" borderId="2" xfId="0" applyFont="1" applyFill="1" applyBorder="1" applyAlignment="1">
      <alignment horizontal="left" vertical="center" wrapText="1"/>
    </xf>
    <xf numFmtId="0" fontId="41" fillId="0" borderId="1" xfId="0" applyFont="1" applyFill="1" applyBorder="1" applyAlignment="1">
      <alignment vertical="center" wrapText="1"/>
    </xf>
    <xf numFmtId="0" fontId="41" fillId="0" borderId="2" xfId="0" applyFont="1" applyFill="1" applyBorder="1" applyAlignment="1">
      <alignment horizontal="center" vertical="center" wrapText="1"/>
    </xf>
    <xf numFmtId="4" fontId="41" fillId="0" borderId="6" xfId="0" applyNumberFormat="1" applyFont="1" applyFill="1" applyBorder="1" applyAlignment="1">
      <alignment horizontal="center" vertical="center" wrapText="1"/>
    </xf>
    <xf numFmtId="4" fontId="41" fillId="0" borderId="2" xfId="0" applyNumberFormat="1" applyFont="1" applyFill="1" applyBorder="1" applyAlignment="1">
      <alignment horizontal="center" vertical="center" wrapText="1"/>
    </xf>
    <xf numFmtId="4" fontId="35" fillId="0" borderId="6" xfId="0" applyNumberFormat="1" applyFont="1" applyFill="1" applyBorder="1" applyAlignment="1">
      <alignment horizontal="center" vertical="center" wrapText="1"/>
    </xf>
    <xf numFmtId="4" fontId="43" fillId="0" borderId="2" xfId="0" applyNumberFormat="1" applyFont="1" applyFill="1" applyBorder="1" applyAlignment="1">
      <alignment horizontal="center" vertical="center"/>
    </xf>
    <xf numFmtId="4" fontId="43" fillId="0" borderId="6" xfId="0" applyNumberFormat="1" applyFont="1" applyFill="1" applyBorder="1" applyAlignment="1">
      <alignment horizontal="center" vertical="center"/>
    </xf>
    <xf numFmtId="164" fontId="41" fillId="0" borderId="6" xfId="0" applyNumberFormat="1" applyFont="1" applyFill="1" applyBorder="1" applyAlignment="1">
      <alignment horizontal="center" vertical="center" wrapText="1"/>
    </xf>
    <xf numFmtId="4" fontId="42" fillId="0" borderId="2" xfId="0" applyNumberFormat="1" applyFont="1" applyFill="1" applyBorder="1" applyAlignment="1">
      <alignment horizontal="center" vertical="center"/>
    </xf>
    <xf numFmtId="164" fontId="41" fillId="0" borderId="8" xfId="0" applyNumberFormat="1" applyFont="1" applyFill="1" applyBorder="1" applyAlignment="1">
      <alignment horizontal="center" vertical="center" wrapText="1"/>
    </xf>
    <xf numFmtId="4" fontId="41" fillId="0" borderId="1" xfId="0" applyNumberFormat="1" applyFont="1" applyFill="1" applyBorder="1" applyAlignment="1">
      <alignment horizontal="center" vertical="center" wrapText="1"/>
    </xf>
    <xf numFmtId="4" fontId="42" fillId="0" borderId="1" xfId="0" applyNumberFormat="1" applyFont="1" applyFill="1" applyBorder="1" applyAlignment="1">
      <alignment horizontal="center" vertical="center" wrapText="1"/>
    </xf>
    <xf numFmtId="4" fontId="42" fillId="0" borderId="8" xfId="0" applyNumberFormat="1" applyFont="1" applyFill="1" applyBorder="1" applyAlignment="1">
      <alignment horizontal="center" vertical="center" wrapText="1"/>
    </xf>
    <xf numFmtId="4" fontId="41" fillId="0" borderId="2" xfId="0" applyNumberFormat="1" applyFont="1" applyFill="1" applyBorder="1" applyAlignment="1">
      <alignment horizontal="center" vertical="center"/>
    </xf>
    <xf numFmtId="4" fontId="41" fillId="0" borderId="6" xfId="0" applyNumberFormat="1" applyFont="1" applyFill="1" applyBorder="1" applyAlignment="1">
      <alignment horizontal="center" vertical="center"/>
    </xf>
    <xf numFmtId="4" fontId="35" fillId="0" borderId="2" xfId="0" applyNumberFormat="1" applyFont="1" applyFill="1" applyBorder="1" applyAlignment="1">
      <alignment horizontal="center" vertical="center"/>
    </xf>
    <xf numFmtId="4" fontId="41" fillId="0" borderId="8" xfId="0" applyNumberFormat="1" applyFont="1" applyFill="1" applyBorder="1" applyAlignment="1">
      <alignment horizontal="center" vertical="center" wrapText="1"/>
    </xf>
    <xf numFmtId="4" fontId="35" fillId="0" borderId="2" xfId="0" applyNumberFormat="1" applyFont="1" applyFill="1" applyBorder="1" applyAlignment="1">
      <alignment horizontal="center" vertical="center" wrapText="1"/>
    </xf>
    <xf numFmtId="4" fontId="41" fillId="0" borderId="10" xfId="0" applyNumberFormat="1" applyFont="1" applyFill="1" applyBorder="1" applyAlignment="1">
      <alignment horizontal="center" vertical="center"/>
    </xf>
    <xf numFmtId="4" fontId="35" fillId="0" borderId="8" xfId="0" applyNumberFormat="1" applyFont="1" applyFill="1" applyBorder="1" applyAlignment="1">
      <alignment horizontal="center" vertical="center" wrapText="1"/>
    </xf>
    <xf numFmtId="4" fontId="35" fillId="0" borderId="1" xfId="0" applyNumberFormat="1" applyFont="1" applyFill="1" applyBorder="1" applyAlignment="1">
      <alignment horizontal="center" vertical="center" wrapText="1"/>
    </xf>
    <xf numFmtId="4" fontId="35" fillId="0" borderId="5" xfId="0" applyNumberFormat="1" applyFont="1" applyFill="1" applyBorder="1" applyAlignment="1">
      <alignment horizontal="center" vertical="center" wrapText="1"/>
    </xf>
    <xf numFmtId="4" fontId="41" fillId="0" borderId="5" xfId="0" applyNumberFormat="1" applyFont="1" applyFill="1" applyBorder="1" applyAlignment="1">
      <alignment horizontal="center" vertical="center" wrapText="1"/>
    </xf>
    <xf numFmtId="164" fontId="41" fillId="0" borderId="2" xfId="0" applyNumberFormat="1" applyFont="1" applyFill="1" applyBorder="1" applyAlignment="1">
      <alignment horizontal="center" vertical="center" wrapText="1"/>
    </xf>
    <xf numFmtId="164" fontId="41" fillId="0" borderId="2" xfId="0" applyNumberFormat="1" applyFont="1" applyFill="1" applyBorder="1" applyAlignment="1">
      <alignment horizontal="center" vertical="center"/>
    </xf>
    <xf numFmtId="164" fontId="41" fillId="0" borderId="6" xfId="0" applyNumberFormat="1" applyFont="1" applyFill="1" applyBorder="1" applyAlignment="1">
      <alignment horizontal="center" vertical="center"/>
    </xf>
    <xf numFmtId="164" fontId="35" fillId="0" borderId="6" xfId="0" applyNumberFormat="1" applyFont="1" applyFill="1" applyBorder="1" applyAlignment="1">
      <alignment horizontal="center" vertical="center" wrapText="1"/>
    </xf>
    <xf numFmtId="164" fontId="35" fillId="0" borderId="8" xfId="0" applyNumberFormat="1" applyFont="1" applyFill="1" applyBorder="1" applyAlignment="1">
      <alignment horizontal="center" vertical="center" wrapText="1"/>
    </xf>
    <xf numFmtId="164" fontId="35" fillId="0" borderId="2" xfId="0" applyNumberFormat="1" applyFont="1" applyFill="1" applyBorder="1" applyAlignment="1">
      <alignment horizontal="center" vertical="center"/>
    </xf>
    <xf numFmtId="164" fontId="35" fillId="0" borderId="6" xfId="0" applyNumberFormat="1" applyFont="1" applyFill="1" applyBorder="1" applyAlignment="1">
      <alignment horizontal="center" vertical="center"/>
    </xf>
    <xf numFmtId="4" fontId="43" fillId="0" borderId="2" xfId="0" applyNumberFormat="1" applyFont="1" applyFill="1" applyBorder="1" applyAlignment="1">
      <alignment horizontal="center" vertical="center" wrapText="1"/>
    </xf>
    <xf numFmtId="4" fontId="42" fillId="0" borderId="2" xfId="0" applyNumberFormat="1" applyFont="1" applyFill="1" applyBorder="1" applyAlignment="1">
      <alignment horizontal="center" vertical="center" wrapText="1"/>
    </xf>
    <xf numFmtId="4" fontId="42" fillId="0" borderId="4" xfId="0" applyNumberFormat="1" applyFont="1" applyFill="1" applyBorder="1" applyAlignment="1">
      <alignment horizontal="center" vertical="center" wrapText="1"/>
    </xf>
    <xf numFmtId="0" fontId="36" fillId="0" borderId="6" xfId="0" applyFont="1" applyFill="1" applyBorder="1" applyAlignment="1">
      <alignment horizontal="center" vertical="top" wrapText="1"/>
    </xf>
    <xf numFmtId="0" fontId="45" fillId="0" borderId="8" xfId="0" applyFont="1" applyFill="1" applyBorder="1" applyAlignment="1">
      <alignment horizontal="center" vertical="top" wrapText="1"/>
    </xf>
    <xf numFmtId="0" fontId="45" fillId="0" borderId="6" xfId="0" applyFont="1" applyFill="1" applyBorder="1" applyAlignment="1">
      <alignment horizontal="center" vertical="top" wrapText="1"/>
    </xf>
    <xf numFmtId="0" fontId="38" fillId="0" borderId="6" xfId="0" applyFont="1" applyFill="1" applyBorder="1" applyAlignment="1">
      <alignment horizontal="center" vertical="center" wrapText="1"/>
    </xf>
    <xf numFmtId="0" fontId="48" fillId="0" borderId="6" xfId="0" applyFont="1" applyFill="1" applyBorder="1" applyAlignment="1">
      <alignment horizontal="center" vertical="center" wrapText="1"/>
    </xf>
    <xf numFmtId="0" fontId="43" fillId="0" borderId="6" xfId="0" applyFont="1" applyFill="1" applyBorder="1" applyAlignment="1">
      <alignment horizontal="center" vertical="center" wrapText="1"/>
    </xf>
    <xf numFmtId="0" fontId="42" fillId="0" borderId="6" xfId="0" applyFont="1" applyFill="1" applyBorder="1" applyAlignment="1">
      <alignment horizontal="center" vertical="center" wrapText="1"/>
    </xf>
    <xf numFmtId="0" fontId="35" fillId="0" borderId="6" xfId="0" applyFont="1" applyFill="1" applyBorder="1" applyAlignment="1">
      <alignment horizontal="center" vertical="top" wrapText="1"/>
    </xf>
    <xf numFmtId="0" fontId="41" fillId="0" borderId="6" xfId="0" applyFont="1" applyFill="1" applyBorder="1" applyAlignment="1">
      <alignment horizontal="center" vertical="top" wrapText="1"/>
    </xf>
    <xf numFmtId="0" fontId="41" fillId="0" borderId="7" xfId="0" applyFont="1" applyFill="1" applyBorder="1" applyAlignment="1">
      <alignment horizontal="center" vertical="center"/>
    </xf>
    <xf numFmtId="49" fontId="41" fillId="0" borderId="8" xfId="0" applyNumberFormat="1" applyFont="1" applyFill="1" applyBorder="1" applyAlignment="1">
      <alignment horizontal="center" vertical="top" wrapText="1"/>
    </xf>
    <xf numFmtId="0" fontId="41" fillId="0" borderId="8" xfId="0" applyFont="1" applyFill="1" applyBorder="1" applyAlignment="1">
      <alignment horizontal="center" vertical="top" wrapText="1"/>
    </xf>
    <xf numFmtId="3" fontId="35" fillId="0" borderId="13" xfId="0" applyNumberFormat="1" applyFont="1" applyFill="1" applyBorder="1" applyAlignment="1">
      <alignment horizontal="center" vertical="center" wrapText="1"/>
    </xf>
    <xf numFmtId="3" fontId="41" fillId="0" borderId="13" xfId="0" applyNumberFormat="1" applyFont="1" applyFill="1" applyBorder="1" applyAlignment="1">
      <alignment horizontal="center" vertical="center" wrapText="1"/>
    </xf>
    <xf numFmtId="4" fontId="41" fillId="0" borderId="8" xfId="0" applyNumberFormat="1" applyFont="1" applyFill="1" applyBorder="1" applyAlignment="1">
      <alignment vertical="center" wrapText="1"/>
    </xf>
    <xf numFmtId="4" fontId="41" fillId="0" borderId="6" xfId="0" applyNumberFormat="1" applyFont="1" applyFill="1" applyBorder="1" applyAlignment="1">
      <alignment vertical="center" wrapText="1"/>
    </xf>
    <xf numFmtId="49" fontId="41" fillId="0" borderId="1" xfId="0" applyNumberFormat="1" applyFont="1" applyFill="1" applyBorder="1" applyAlignment="1">
      <alignment vertical="center" wrapText="1"/>
    </xf>
    <xf numFmtId="4" fontId="7" fillId="0" borderId="0" xfId="0" applyNumberFormat="1" applyFont="1" applyFill="1" applyBorder="1" applyAlignment="1">
      <alignment horizontal="center" vertical="center"/>
    </xf>
    <xf numFmtId="4" fontId="35" fillId="2" borderId="1" xfId="0" applyNumberFormat="1" applyFont="1" applyFill="1" applyBorder="1" applyAlignment="1">
      <alignment horizontal="right" vertical="center" wrapText="1"/>
    </xf>
    <xf numFmtId="4" fontId="41" fillId="2" borderId="16" xfId="0" applyNumberFormat="1" applyFont="1" applyFill="1" applyBorder="1" applyAlignment="1">
      <alignment horizontal="right" vertical="center" wrapText="1"/>
    </xf>
    <xf numFmtId="4" fontId="35" fillId="2" borderId="21" xfId="0" applyNumberFormat="1" applyFont="1" applyFill="1" applyBorder="1" applyAlignment="1">
      <alignment horizontal="right" vertical="center" wrapText="1"/>
    </xf>
    <xf numFmtId="4" fontId="43" fillId="2" borderId="21" xfId="0" applyNumberFormat="1" applyFont="1" applyFill="1" applyBorder="1" applyAlignment="1">
      <alignment horizontal="right" vertical="center" wrapText="1"/>
    </xf>
    <xf numFmtId="4" fontId="41" fillId="2" borderId="2" xfId="0" applyNumberFormat="1" applyFont="1" applyFill="1" applyBorder="1" applyAlignment="1">
      <alignment horizontal="right" vertical="center" wrapText="1"/>
    </xf>
    <xf numFmtId="4" fontId="42" fillId="2" borderId="2" xfId="0" applyNumberFormat="1" applyFont="1" applyFill="1" applyBorder="1" applyAlignment="1">
      <alignment horizontal="right" vertical="center" wrapText="1"/>
    </xf>
    <xf numFmtId="4" fontId="42" fillId="2" borderId="16" xfId="0" applyNumberFormat="1" applyFont="1" applyFill="1" applyBorder="1" applyAlignment="1">
      <alignment horizontal="right" vertical="center" wrapText="1"/>
    </xf>
    <xf numFmtId="4" fontId="41" fillId="2" borderId="1" xfId="0" applyNumberFormat="1" applyFont="1" applyFill="1" applyBorder="1" applyAlignment="1">
      <alignment horizontal="right" vertical="center" wrapText="1"/>
    </xf>
    <xf numFmtId="4" fontId="43" fillId="2" borderId="16" xfId="0" applyNumberFormat="1" applyFont="1" applyFill="1" applyBorder="1" applyAlignment="1">
      <alignment horizontal="right" vertical="center" wrapText="1"/>
    </xf>
    <xf numFmtId="4" fontId="41" fillId="2" borderId="21" xfId="0" applyNumberFormat="1" applyFont="1" applyFill="1" applyBorder="1" applyAlignment="1">
      <alignment vertical="center" wrapText="1"/>
    </xf>
    <xf numFmtId="4" fontId="42" fillId="2" borderId="1" xfId="0" applyNumberFormat="1" applyFont="1" applyFill="1" applyBorder="1" applyAlignment="1">
      <alignment vertical="center" wrapText="1"/>
    </xf>
    <xf numFmtId="4" fontId="42" fillId="2" borderId="21" xfId="0" applyNumberFormat="1" applyFont="1" applyFill="1" applyBorder="1" applyAlignment="1">
      <alignment vertical="center" wrapText="1"/>
    </xf>
    <xf numFmtId="4" fontId="42" fillId="2" borderId="1" xfId="0" applyNumberFormat="1" applyFont="1" applyFill="1" applyBorder="1" applyAlignment="1">
      <alignment horizontal="right" vertical="center" wrapText="1"/>
    </xf>
    <xf numFmtId="4" fontId="42" fillId="2" borderId="2" xfId="0" applyNumberFormat="1" applyFont="1" applyFill="1" applyBorder="1" applyAlignment="1">
      <alignment vertical="center" wrapText="1"/>
    </xf>
    <xf numFmtId="0" fontId="18" fillId="2" borderId="0" xfId="0" applyFont="1" applyFill="1" applyAlignment="1">
      <alignment horizontal="center" wrapText="1"/>
    </xf>
    <xf numFmtId="0" fontId="2" fillId="2" borderId="0" xfId="0" applyFont="1" applyFill="1"/>
    <xf numFmtId="0" fontId="10" fillId="2" borderId="0" xfId="0" applyFont="1" applyFill="1" applyAlignment="1">
      <alignment horizontal="centerContinuous" vertical="center" wrapText="1"/>
    </xf>
    <xf numFmtId="0" fontId="35" fillId="2" borderId="2" xfId="0" applyFont="1" applyFill="1" applyBorder="1" applyAlignment="1">
      <alignment horizontal="center" vertical="center" wrapText="1"/>
    </xf>
    <xf numFmtId="4" fontId="41" fillId="2" borderId="3" xfId="0" applyNumberFormat="1" applyFont="1" applyFill="1" applyBorder="1" applyAlignment="1">
      <alignment vertical="center" wrapText="1"/>
    </xf>
    <xf numFmtId="4" fontId="41" fillId="2" borderId="16" xfId="0" applyNumberFormat="1" applyFont="1" applyFill="1" applyBorder="1" applyAlignment="1">
      <alignment vertical="center" wrapText="1"/>
    </xf>
    <xf numFmtId="4" fontId="35" fillId="2" borderId="3" xfId="0" applyNumberFormat="1" applyFont="1" applyFill="1" applyBorder="1" applyAlignment="1">
      <alignment horizontal="right" vertical="center" wrapText="1"/>
    </xf>
    <xf numFmtId="4" fontId="35" fillId="2" borderId="18" xfId="0" applyNumberFormat="1" applyFont="1" applyFill="1" applyBorder="1" applyAlignment="1">
      <alignment horizontal="right" vertical="center" wrapText="1"/>
    </xf>
    <xf numFmtId="2" fontId="41" fillId="2" borderId="18" xfId="0" applyNumberFormat="1" applyFont="1" applyFill="1" applyBorder="1" applyAlignment="1">
      <alignment horizontal="right" vertical="center"/>
    </xf>
    <xf numFmtId="4" fontId="42" fillId="2" borderId="21" xfId="0" applyNumberFormat="1" applyFont="1" applyFill="1" applyBorder="1" applyAlignment="1">
      <alignment horizontal="right" vertical="center" wrapText="1"/>
    </xf>
    <xf numFmtId="0" fontId="41" fillId="2" borderId="4" xfId="0" applyFont="1" applyFill="1" applyBorder="1" applyAlignment="1">
      <alignment horizontal="right"/>
    </xf>
    <xf numFmtId="0" fontId="41" fillId="2" borderId="18" xfId="0" applyFont="1" applyFill="1" applyBorder="1" applyAlignment="1">
      <alignment horizontal="right"/>
    </xf>
    <xf numFmtId="4" fontId="43" fillId="2" borderId="18" xfId="0" applyNumberFormat="1" applyFont="1" applyFill="1" applyBorder="1" applyAlignment="1">
      <alignment horizontal="right" vertical="center" wrapText="1"/>
    </xf>
    <xf numFmtId="0" fontId="41" fillId="2" borderId="2" xfId="0" applyFont="1" applyFill="1" applyBorder="1" applyAlignment="1">
      <alignment horizontal="right"/>
    </xf>
    <xf numFmtId="4" fontId="35" fillId="2" borderId="16" xfId="0" applyNumberFormat="1" applyFont="1" applyFill="1" applyBorder="1" applyAlignment="1">
      <alignment vertical="center"/>
    </xf>
    <xf numFmtId="0" fontId="35" fillId="2" borderId="18" xfId="0" applyFont="1" applyFill="1" applyBorder="1" applyAlignment="1">
      <alignment horizontal="right"/>
    </xf>
    <xf numFmtId="0" fontId="35" fillId="2" borderId="3" xfId="0" applyFont="1" applyFill="1" applyBorder="1" applyAlignment="1">
      <alignment horizontal="right"/>
    </xf>
    <xf numFmtId="0" fontId="41" fillId="2" borderId="3" xfId="0" applyFont="1" applyFill="1" applyBorder="1" applyAlignment="1">
      <alignment horizontal="right"/>
    </xf>
    <xf numFmtId="4" fontId="43" fillId="2" borderId="3" xfId="0" applyNumberFormat="1" applyFont="1" applyFill="1" applyBorder="1" applyAlignment="1">
      <alignment horizontal="right" vertical="center" wrapText="1"/>
    </xf>
    <xf numFmtId="4" fontId="41" fillId="2" borderId="16" xfId="0" applyNumberFormat="1" applyFont="1" applyFill="1" applyBorder="1" applyAlignment="1">
      <alignment horizontal="right" vertical="center"/>
    </xf>
    <xf numFmtId="4" fontId="42" fillId="2" borderId="18" xfId="0" applyNumberFormat="1" applyFont="1" applyFill="1" applyBorder="1" applyAlignment="1">
      <alignment vertical="center" wrapText="1"/>
    </xf>
    <xf numFmtId="0" fontId="41" fillId="2" borderId="2" xfId="0" applyFont="1" applyFill="1" applyBorder="1" applyAlignment="1"/>
    <xf numFmtId="0" fontId="41" fillId="2" borderId="18" xfId="0" applyFont="1" applyFill="1" applyBorder="1"/>
    <xf numFmtId="4" fontId="43" fillId="2" borderId="21" xfId="0" applyNumberFormat="1" applyFont="1" applyFill="1" applyBorder="1" applyAlignment="1">
      <alignment vertical="center" wrapText="1"/>
    </xf>
    <xf numFmtId="0" fontId="35" fillId="2" borderId="16" xfId="0" applyFont="1" applyFill="1" applyBorder="1"/>
    <xf numFmtId="0" fontId="41" fillId="2" borderId="4" xfId="0" applyFont="1" applyFill="1" applyBorder="1"/>
    <xf numFmtId="4" fontId="43" fillId="2" borderId="4" xfId="0" applyNumberFormat="1" applyFont="1" applyFill="1" applyBorder="1" applyAlignment="1">
      <alignment horizontal="right" vertical="center" wrapText="1"/>
    </xf>
    <xf numFmtId="4" fontId="41" fillId="2" borderId="18" xfId="0" applyNumberFormat="1" applyFont="1" applyFill="1" applyBorder="1" applyAlignment="1">
      <alignment horizontal="right" vertical="center" wrapText="1"/>
    </xf>
    <xf numFmtId="4" fontId="41" fillId="2" borderId="2" xfId="0" applyNumberFormat="1" applyFont="1" applyFill="1" applyBorder="1" applyAlignment="1">
      <alignment vertical="center" wrapText="1"/>
    </xf>
    <xf numFmtId="4" fontId="41" fillId="2" borderId="4" xfId="0" applyNumberFormat="1" applyFont="1" applyFill="1" applyBorder="1" applyAlignment="1">
      <alignment vertical="center" wrapText="1"/>
    </xf>
    <xf numFmtId="4" fontId="41" fillId="2" borderId="20" xfId="0" applyNumberFormat="1" applyFont="1" applyFill="1" applyBorder="1" applyAlignment="1">
      <alignment horizontal="right" vertical="center" wrapText="1"/>
    </xf>
    <xf numFmtId="4" fontId="35" fillId="2" borderId="16" xfId="0" applyNumberFormat="1" applyFont="1" applyFill="1" applyBorder="1" applyAlignment="1">
      <alignment horizontal="right" vertical="center" wrapText="1"/>
    </xf>
    <xf numFmtId="4" fontId="35" fillId="2" borderId="4" xfId="0" applyNumberFormat="1" applyFont="1" applyFill="1" applyBorder="1" applyAlignment="1">
      <alignment horizontal="right" vertical="center" wrapText="1"/>
    </xf>
    <xf numFmtId="4" fontId="35" fillId="2" borderId="2" xfId="0" applyNumberFormat="1" applyFont="1" applyFill="1" applyBorder="1" applyAlignment="1">
      <alignment horizontal="right" vertical="center" wrapText="1"/>
    </xf>
    <xf numFmtId="4" fontId="35" fillId="2" borderId="21" xfId="0" applyNumberFormat="1" applyFont="1" applyFill="1" applyBorder="1" applyAlignment="1">
      <alignment vertical="center"/>
    </xf>
    <xf numFmtId="4" fontId="41" fillId="2" borderId="17" xfId="0" applyNumberFormat="1" applyFont="1" applyFill="1" applyBorder="1" applyAlignment="1">
      <alignment horizontal="right" vertical="center"/>
    </xf>
    <xf numFmtId="4" fontId="42" fillId="2" borderId="17" xfId="0" applyNumberFormat="1" applyFont="1" applyFill="1" applyBorder="1" applyAlignment="1">
      <alignment vertical="center" wrapText="1"/>
    </xf>
    <xf numFmtId="4" fontId="42" fillId="2" borderId="16" xfId="0" applyNumberFormat="1" applyFont="1" applyFill="1" applyBorder="1" applyAlignment="1">
      <alignment vertical="center" wrapText="1"/>
    </xf>
    <xf numFmtId="4" fontId="42" fillId="2" borderId="4" xfId="0" applyNumberFormat="1" applyFont="1" applyFill="1" applyBorder="1" applyAlignment="1">
      <alignment horizontal="right" vertical="center" wrapText="1"/>
    </xf>
    <xf numFmtId="0" fontId="41" fillId="2" borderId="2" xfId="0" applyFont="1" applyFill="1" applyBorder="1"/>
    <xf numFmtId="0" fontId="42" fillId="2" borderId="2" xfId="0" applyFont="1" applyFill="1" applyBorder="1"/>
    <xf numFmtId="0" fontId="3" fillId="2" borderId="0" xfId="0" applyFont="1" applyFill="1"/>
    <xf numFmtId="0" fontId="41" fillId="2" borderId="16" xfId="0" applyFont="1" applyFill="1" applyBorder="1" applyAlignment="1">
      <alignment horizontal="left" vertical="center" wrapText="1"/>
    </xf>
    <xf numFmtId="49" fontId="41" fillId="2" borderId="16" xfId="0" applyNumberFormat="1" applyFont="1" applyFill="1" applyBorder="1" applyAlignment="1">
      <alignment horizontal="center" vertical="center" wrapText="1"/>
    </xf>
    <xf numFmtId="49" fontId="35" fillId="2" borderId="16" xfId="0" applyNumberFormat="1" applyFont="1" applyFill="1" applyBorder="1" applyAlignment="1">
      <alignment horizontal="center" vertical="center" wrapText="1"/>
    </xf>
    <xf numFmtId="3" fontId="41" fillId="0" borderId="2" xfId="0" applyNumberFormat="1" applyFont="1" applyFill="1" applyBorder="1" applyAlignment="1">
      <alignment horizontal="center" vertical="center" wrapText="1"/>
    </xf>
    <xf numFmtId="4" fontId="41" fillId="2" borderId="20" xfId="0" applyNumberFormat="1" applyFont="1" applyFill="1" applyBorder="1" applyAlignment="1">
      <alignment vertical="center" wrapText="1"/>
    </xf>
    <xf numFmtId="4" fontId="42" fillId="2" borderId="3" xfId="0" applyNumberFormat="1" applyFont="1" applyFill="1" applyBorder="1" applyAlignment="1">
      <alignment vertical="center" wrapText="1"/>
    </xf>
    <xf numFmtId="4" fontId="42" fillId="2" borderId="2" xfId="0" applyNumberFormat="1" applyFont="1" applyFill="1" applyBorder="1" applyAlignment="1">
      <alignment horizontal="center" vertical="center" wrapText="1"/>
    </xf>
    <xf numFmtId="4" fontId="42" fillId="2" borderId="20" xfId="0" applyNumberFormat="1" applyFont="1" applyFill="1" applyBorder="1" applyAlignment="1">
      <alignment vertical="center" wrapText="1"/>
    </xf>
    <xf numFmtId="0" fontId="42" fillId="0" borderId="2" xfId="0" applyFont="1" applyFill="1" applyBorder="1" applyAlignment="1">
      <alignment horizontal="left" vertical="center" wrapText="1"/>
    </xf>
    <xf numFmtId="4" fontId="42" fillId="2" borderId="3" xfId="0" applyNumberFormat="1" applyFont="1" applyFill="1" applyBorder="1" applyAlignment="1">
      <alignment horizontal="center" vertical="center" wrapText="1"/>
    </xf>
    <xf numFmtId="4" fontId="42" fillId="2" borderId="3" xfId="0" applyNumberFormat="1" applyFont="1" applyFill="1" applyBorder="1" applyAlignment="1">
      <alignment vertical="center"/>
    </xf>
    <xf numFmtId="2" fontId="42" fillId="2" borderId="20" xfId="0" applyNumberFormat="1" applyFont="1" applyFill="1" applyBorder="1" applyAlignment="1">
      <alignment horizontal="center" vertical="center"/>
    </xf>
    <xf numFmtId="4" fontId="42" fillId="2" borderId="20" xfId="0" applyNumberFormat="1" applyFont="1" applyFill="1" applyBorder="1" applyAlignment="1">
      <alignment horizontal="center" vertical="center" wrapText="1"/>
    </xf>
    <xf numFmtId="4" fontId="42" fillId="2" borderId="20" xfId="0" applyNumberFormat="1" applyFont="1" applyFill="1" applyBorder="1" applyAlignment="1">
      <alignment horizontal="right" vertical="center" wrapText="1"/>
    </xf>
    <xf numFmtId="4" fontId="42" fillId="2" borderId="3" xfId="0" applyNumberFormat="1" applyFont="1" applyFill="1" applyBorder="1" applyAlignment="1">
      <alignment horizontal="right" vertical="center" wrapText="1"/>
    </xf>
    <xf numFmtId="0" fontId="35" fillId="2" borderId="1" xfId="0" applyFont="1" applyFill="1" applyBorder="1" applyAlignment="1">
      <alignment horizontal="center" vertical="center" wrapText="1"/>
    </xf>
    <xf numFmtId="0" fontId="35" fillId="2" borderId="4" xfId="0" applyFont="1" applyFill="1" applyBorder="1" applyAlignment="1">
      <alignment horizontal="center" vertical="center" wrapText="1"/>
    </xf>
    <xf numFmtId="4" fontId="35" fillId="2" borderId="20" xfId="0" applyNumberFormat="1" applyFont="1" applyFill="1" applyBorder="1" applyAlignment="1">
      <alignment horizontal="center" vertical="center" wrapText="1"/>
    </xf>
    <xf numFmtId="4" fontId="35" fillId="2" borderId="17" xfId="0" applyNumberFormat="1" applyFont="1" applyFill="1" applyBorder="1" applyAlignment="1">
      <alignment horizontal="right" vertical="center" wrapText="1"/>
    </xf>
    <xf numFmtId="4" fontId="35" fillId="2" borderId="20" xfId="0" applyNumberFormat="1" applyFont="1" applyFill="1" applyBorder="1" applyAlignment="1">
      <alignment horizontal="right" vertical="center" wrapText="1"/>
    </xf>
    <xf numFmtId="4" fontId="43" fillId="2" borderId="17" xfId="0" applyNumberFormat="1" applyFont="1" applyFill="1" applyBorder="1" applyAlignment="1">
      <alignment horizontal="right" vertical="center" wrapText="1"/>
    </xf>
    <xf numFmtId="4" fontId="43" fillId="2" borderId="20" xfId="0" applyNumberFormat="1" applyFont="1" applyFill="1" applyBorder="1" applyAlignment="1">
      <alignment horizontal="right" vertical="center" wrapText="1"/>
    </xf>
    <xf numFmtId="4" fontId="41" fillId="2" borderId="3" xfId="0" applyNumberFormat="1" applyFont="1" applyFill="1" applyBorder="1" applyAlignment="1">
      <alignment horizontal="right" vertical="center" wrapText="1"/>
    </xf>
    <xf numFmtId="0" fontId="14" fillId="2" borderId="0" xfId="0" applyFont="1" applyFill="1" applyAlignment="1">
      <alignment horizontal="center"/>
    </xf>
    <xf numFmtId="49" fontId="2" fillId="2" borderId="0" xfId="0" applyNumberFormat="1" applyFont="1" applyFill="1" applyAlignment="1">
      <alignment horizontal="center"/>
    </xf>
    <xf numFmtId="4" fontId="5" fillId="2" borderId="0" xfId="0" applyNumberFormat="1" applyFont="1" applyFill="1" applyAlignment="1">
      <alignment horizontal="right" vertical="center" wrapText="1"/>
    </xf>
    <xf numFmtId="4" fontId="9" fillId="2" borderId="0" xfId="0" applyNumberFormat="1" applyFont="1" applyFill="1" applyAlignment="1">
      <alignment horizontal="right" vertical="center" wrapText="1"/>
    </xf>
    <xf numFmtId="4" fontId="11" fillId="2" borderId="0" xfId="0" applyNumberFormat="1" applyFont="1" applyFill="1" applyAlignment="1">
      <alignment horizontal="right" vertical="center" wrapText="1"/>
    </xf>
    <xf numFmtId="0" fontId="12" fillId="2" borderId="0" xfId="0" applyFont="1" applyFill="1"/>
    <xf numFmtId="0" fontId="9" fillId="2" borderId="0" xfId="0" applyFont="1" applyFill="1" applyAlignment="1">
      <alignment horizontal="centerContinuous" vertical="top" wrapText="1"/>
    </xf>
    <xf numFmtId="0" fontId="3" fillId="2" borderId="0" xfId="0" applyFont="1" applyFill="1" applyAlignment="1">
      <alignment horizontal="centerContinuous" vertical="center" wrapText="1"/>
    </xf>
    <xf numFmtId="49" fontId="10" fillId="2" borderId="0" xfId="0" applyNumberFormat="1" applyFont="1" applyFill="1" applyAlignment="1">
      <alignment horizontal="center" vertical="center" wrapText="1"/>
    </xf>
    <xf numFmtId="4" fontId="36" fillId="2" borderId="0" xfId="0" applyNumberFormat="1" applyFont="1" applyFill="1" applyAlignment="1">
      <alignment horizontal="right" vertical="center" wrapText="1"/>
    </xf>
    <xf numFmtId="4" fontId="37" fillId="2" borderId="0" xfId="0" applyNumberFormat="1" applyFont="1" applyFill="1" applyAlignment="1">
      <alignment horizontal="right" vertical="center" wrapText="1"/>
    </xf>
    <xf numFmtId="0" fontId="38" fillId="2" borderId="0" xfId="0" applyFont="1" applyFill="1"/>
    <xf numFmtId="0" fontId="35" fillId="2" borderId="3" xfId="0" applyFont="1" applyFill="1" applyBorder="1" applyAlignment="1">
      <alignment horizontal="center" vertical="center" wrapText="1"/>
    </xf>
    <xf numFmtId="0" fontId="35" fillId="2" borderId="3" xfId="0" applyFont="1" applyFill="1" applyBorder="1" applyAlignment="1">
      <alignment horizontal="center" vertical="top" wrapText="1"/>
    </xf>
    <xf numFmtId="0" fontId="27" fillId="2" borderId="2" xfId="0" applyFont="1" applyFill="1" applyBorder="1" applyAlignment="1">
      <alignment horizontal="center" vertical="center" wrapText="1"/>
    </xf>
    <xf numFmtId="0" fontId="35" fillId="2" borderId="4" xfId="0" applyFont="1" applyFill="1" applyBorder="1" applyAlignment="1">
      <alignment horizontal="center" vertical="top" wrapText="1"/>
    </xf>
    <xf numFmtId="0" fontId="35" fillId="2" borderId="4" xfId="0" applyFont="1" applyFill="1" applyBorder="1" applyAlignment="1">
      <alignment vertical="top" wrapText="1"/>
    </xf>
    <xf numFmtId="49" fontId="35" fillId="2" borderId="1" xfId="0" applyNumberFormat="1" applyFont="1" applyFill="1" applyBorder="1" applyAlignment="1">
      <alignment horizontal="center" vertical="center" wrapText="1"/>
    </xf>
    <xf numFmtId="49" fontId="36" fillId="2" borderId="0" xfId="0" applyNumberFormat="1" applyFont="1" applyFill="1" applyAlignment="1">
      <alignment horizontal="right" vertical="center" wrapText="1"/>
    </xf>
    <xf numFmtId="0" fontId="35" fillId="2" borderId="1" xfId="0" applyFont="1" applyFill="1" applyBorder="1" applyAlignment="1">
      <alignment horizontal="justify" vertical="center" wrapText="1"/>
    </xf>
    <xf numFmtId="0" fontId="40" fillId="2" borderId="0" xfId="0" applyFont="1" applyFill="1"/>
    <xf numFmtId="4" fontId="40" fillId="2" borderId="0" xfId="0" applyNumberFormat="1" applyFont="1" applyFill="1"/>
    <xf numFmtId="0" fontId="41" fillId="2" borderId="3" xfId="0" applyFont="1" applyFill="1" applyBorder="1" applyAlignment="1">
      <alignment horizontal="left" vertical="center" wrapText="1"/>
    </xf>
    <xf numFmtId="49" fontId="41" fillId="2" borderId="3" xfId="0" applyNumberFormat="1" applyFont="1" applyFill="1" applyBorder="1" applyAlignment="1">
      <alignment horizontal="center" vertical="center" wrapText="1"/>
    </xf>
    <xf numFmtId="0" fontId="35" fillId="2" borderId="20" xfId="0" applyFont="1" applyFill="1" applyBorder="1" applyAlignment="1">
      <alignment horizontal="center" vertical="center" wrapText="1"/>
    </xf>
    <xf numFmtId="0" fontId="36" fillId="2" borderId="0" xfId="0" applyFont="1" applyFill="1"/>
    <xf numFmtId="49" fontId="35" fillId="2" borderId="18" xfId="0" applyNumberFormat="1" applyFont="1" applyFill="1" applyBorder="1" applyAlignment="1">
      <alignment horizontal="center" vertical="center" wrapText="1"/>
    </xf>
    <xf numFmtId="49" fontId="35" fillId="2" borderId="20" xfId="0" applyNumberFormat="1" applyFont="1" applyFill="1" applyBorder="1" applyAlignment="1">
      <alignment horizontal="center" vertical="center" wrapText="1"/>
    </xf>
    <xf numFmtId="0" fontId="35" fillId="2" borderId="21" xfId="0" applyFont="1" applyFill="1" applyBorder="1"/>
    <xf numFmtId="0" fontId="35" fillId="2" borderId="16" xfId="0" applyFont="1" applyFill="1" applyBorder="1" applyAlignment="1">
      <alignment horizontal="center" vertical="center"/>
    </xf>
    <xf numFmtId="0" fontId="41" fillId="2" borderId="16" xfId="0" applyFont="1" applyFill="1" applyBorder="1" applyAlignment="1">
      <alignment horizontal="center" vertical="center" wrapText="1"/>
    </xf>
    <xf numFmtId="49" fontId="41" fillId="2" borderId="24" xfId="0" applyNumberFormat="1" applyFont="1" applyFill="1" applyBorder="1" applyAlignment="1">
      <alignment horizontal="center" vertical="center" wrapText="1"/>
    </xf>
    <xf numFmtId="49" fontId="41" fillId="2" borderId="18" xfId="0" applyNumberFormat="1" applyFont="1" applyFill="1" applyBorder="1" applyAlignment="1">
      <alignment horizontal="center" vertical="center" wrapText="1"/>
    </xf>
    <xf numFmtId="0" fontId="41" fillId="2" borderId="18" xfId="0" applyFont="1" applyFill="1" applyBorder="1" applyAlignment="1">
      <alignment horizontal="center" vertical="center" wrapText="1"/>
    </xf>
    <xf numFmtId="49" fontId="41" fillId="2" borderId="19" xfId="0" applyNumberFormat="1" applyFont="1" applyFill="1" applyBorder="1" applyAlignment="1">
      <alignment horizontal="center" vertical="center" wrapText="1"/>
    </xf>
    <xf numFmtId="4" fontId="42" fillId="2" borderId="18" xfId="0" applyNumberFormat="1" applyFont="1" applyFill="1" applyBorder="1" applyAlignment="1">
      <alignment horizontal="right" vertical="center" wrapText="1"/>
    </xf>
    <xf numFmtId="0" fontId="41" fillId="2" borderId="21" xfId="0" applyFont="1" applyFill="1" applyBorder="1" applyAlignment="1">
      <alignment horizontal="justify" vertical="center" wrapText="1"/>
    </xf>
    <xf numFmtId="49" fontId="41" fillId="2" borderId="21" xfId="0" applyNumberFormat="1" applyFont="1" applyFill="1" applyBorder="1" applyAlignment="1">
      <alignment horizontal="justify" vertical="center" wrapText="1"/>
    </xf>
    <xf numFmtId="0" fontId="41" fillId="2" borderId="21" xfId="0" applyFont="1" applyFill="1" applyBorder="1" applyAlignment="1">
      <alignment horizontal="center" vertical="center" wrapText="1"/>
    </xf>
    <xf numFmtId="49" fontId="41" fillId="2" borderId="22" xfId="0" applyNumberFormat="1" applyFont="1" applyFill="1" applyBorder="1" applyAlignment="1">
      <alignment horizontal="center" vertical="center" wrapText="1"/>
    </xf>
    <xf numFmtId="0" fontId="41" fillId="2" borderId="4" xfId="0" applyFont="1" applyFill="1" applyBorder="1" applyAlignment="1">
      <alignment horizontal="center" vertical="center" wrapText="1"/>
    </xf>
    <xf numFmtId="49" fontId="41" fillId="2" borderId="4" xfId="0" applyNumberFormat="1" applyFont="1" applyFill="1" applyBorder="1" applyAlignment="1">
      <alignment horizontal="center" vertical="center" wrapText="1"/>
    </xf>
    <xf numFmtId="49" fontId="41" fillId="2" borderId="5" xfId="0" applyNumberFormat="1" applyFont="1" applyFill="1" applyBorder="1" applyAlignment="1">
      <alignment horizontal="center" vertical="center" shrinkToFit="1"/>
    </xf>
    <xf numFmtId="0" fontId="41" fillId="2" borderId="1" xfId="0" applyFont="1" applyFill="1" applyBorder="1" applyAlignment="1">
      <alignment horizontal="center" vertical="center" wrapText="1"/>
    </xf>
    <xf numFmtId="49" fontId="41" fillId="2" borderId="1" xfId="0" applyNumberFormat="1" applyFont="1" applyFill="1" applyBorder="1" applyAlignment="1">
      <alignment horizontal="center" vertical="center" wrapText="1"/>
    </xf>
    <xf numFmtId="49" fontId="41" fillId="2" borderId="8" xfId="0" applyNumberFormat="1" applyFont="1" applyFill="1" applyBorder="1" applyAlignment="1">
      <alignment horizontal="center" vertical="center" shrinkToFit="1"/>
    </xf>
    <xf numFmtId="49" fontId="41" fillId="2" borderId="19" xfId="0" applyNumberFormat="1" applyFont="1" applyFill="1" applyBorder="1" applyAlignment="1">
      <alignment horizontal="center" vertical="center" shrinkToFit="1"/>
    </xf>
    <xf numFmtId="49" fontId="41" fillId="2" borderId="21" xfId="0" applyNumberFormat="1" applyFont="1" applyFill="1" applyBorder="1" applyAlignment="1">
      <alignment horizontal="center" vertical="center" wrapText="1"/>
    </xf>
    <xf numFmtId="49" fontId="41" fillId="2" borderId="22" xfId="0" applyNumberFormat="1" applyFont="1" applyFill="1" applyBorder="1" applyAlignment="1">
      <alignment horizontal="center" vertical="center" shrinkToFit="1"/>
    </xf>
    <xf numFmtId="4" fontId="35" fillId="2" borderId="16" xfId="0" applyNumberFormat="1" applyFont="1" applyFill="1" applyBorder="1" applyAlignment="1">
      <alignment horizontal="right" vertical="center"/>
    </xf>
    <xf numFmtId="49" fontId="35" fillId="2" borderId="21" xfId="0" applyNumberFormat="1" applyFont="1" applyFill="1" applyBorder="1" applyAlignment="1">
      <alignment horizontal="center" vertical="center" wrapText="1"/>
    </xf>
    <xf numFmtId="0" fontId="35" fillId="2" borderId="21" xfId="0" applyFont="1" applyFill="1" applyBorder="1" applyAlignment="1">
      <alignment horizontal="center" vertical="center" wrapText="1"/>
    </xf>
    <xf numFmtId="0" fontId="41" fillId="2" borderId="2" xfId="0" applyFont="1" applyFill="1" applyBorder="1" applyAlignment="1">
      <alignment horizontal="center" vertical="center" wrapText="1"/>
    </xf>
    <xf numFmtId="49" fontId="41" fillId="2" borderId="2" xfId="0" applyNumberFormat="1" applyFont="1" applyFill="1" applyBorder="1" applyAlignment="1">
      <alignment horizontal="center" vertical="center" wrapText="1"/>
    </xf>
    <xf numFmtId="49" fontId="41" fillId="2" borderId="6" xfId="0" applyNumberFormat="1" applyFont="1" applyFill="1" applyBorder="1" applyAlignment="1">
      <alignment horizontal="center" vertical="center" shrinkToFit="1"/>
    </xf>
    <xf numFmtId="0" fontId="41" fillId="2" borderId="2" xfId="0" applyFont="1" applyFill="1" applyBorder="1" applyAlignment="1">
      <alignment horizontal="right" vertical="center"/>
    </xf>
    <xf numFmtId="0" fontId="41" fillId="2" borderId="21" xfId="0" applyFont="1" applyFill="1" applyBorder="1" applyAlignment="1">
      <alignment horizontal="center" vertical="center"/>
    </xf>
    <xf numFmtId="4" fontId="41" fillId="2" borderId="18" xfId="0" applyNumberFormat="1" applyFont="1" applyFill="1" applyBorder="1" applyAlignment="1">
      <alignment horizontal="right"/>
    </xf>
    <xf numFmtId="4" fontId="41" fillId="2" borderId="2" xfId="0" applyNumberFormat="1" applyFont="1" applyFill="1" applyBorder="1" applyAlignment="1">
      <alignment horizontal="right" vertical="center"/>
    </xf>
    <xf numFmtId="0" fontId="41" fillId="2" borderId="0" xfId="0" applyFont="1" applyFill="1"/>
    <xf numFmtId="0" fontId="35" fillId="2" borderId="16" xfId="0" applyFont="1" applyFill="1" applyBorder="1" applyAlignment="1">
      <alignment horizontal="center" vertical="center" wrapText="1"/>
    </xf>
    <xf numFmtId="0" fontId="42" fillId="2" borderId="16" xfId="0" applyFont="1" applyFill="1" applyBorder="1" applyAlignment="1">
      <alignment horizontal="left" vertical="center" wrapText="1"/>
    </xf>
    <xf numFmtId="49" fontId="41" fillId="2" borderId="24" xfId="0" applyNumberFormat="1" applyFont="1" applyFill="1" applyBorder="1" applyAlignment="1">
      <alignment horizontal="center" vertical="center" shrinkToFit="1"/>
    </xf>
    <xf numFmtId="0" fontId="39" fillId="2" borderId="16" xfId="0" applyFont="1" applyFill="1" applyBorder="1" applyAlignment="1">
      <alignment horizontal="center" vertical="center" wrapText="1"/>
    </xf>
    <xf numFmtId="49" fontId="35" fillId="2" borderId="4" xfId="0" applyNumberFormat="1" applyFont="1" applyFill="1" applyBorder="1" applyAlignment="1">
      <alignment horizontal="center" vertical="center" wrapText="1"/>
    </xf>
    <xf numFmtId="49" fontId="35" fillId="2" borderId="5" xfId="0" applyNumberFormat="1" applyFont="1" applyFill="1" applyBorder="1" applyAlignment="1">
      <alignment horizontal="center" vertical="center" shrinkToFit="1"/>
    </xf>
    <xf numFmtId="49" fontId="35" fillId="2" borderId="2" xfId="0" applyNumberFormat="1" applyFont="1" applyFill="1" applyBorder="1" applyAlignment="1">
      <alignment horizontal="center" vertical="center" wrapText="1"/>
    </xf>
    <xf numFmtId="49" fontId="35" fillId="2" borderId="6" xfId="0" applyNumberFormat="1" applyFont="1" applyFill="1" applyBorder="1" applyAlignment="1">
      <alignment horizontal="center" vertical="center" shrinkToFit="1"/>
    </xf>
    <xf numFmtId="4" fontId="43" fillId="2" borderId="2" xfId="0" applyNumberFormat="1" applyFont="1" applyFill="1" applyBorder="1" applyAlignment="1">
      <alignment horizontal="right" vertical="center" wrapText="1"/>
    </xf>
    <xf numFmtId="0" fontId="35" fillId="2" borderId="21" xfId="0" applyFont="1" applyFill="1" applyBorder="1" applyAlignment="1">
      <alignment horizontal="center" vertical="center"/>
    </xf>
    <xf numFmtId="49" fontId="35" fillId="2" borderId="23" xfId="0" applyNumberFormat="1" applyFont="1" applyFill="1" applyBorder="1" applyAlignment="1">
      <alignment horizontal="center" vertical="center" shrinkToFit="1"/>
    </xf>
    <xf numFmtId="49" fontId="41" fillId="2" borderId="20" xfId="0" applyNumberFormat="1" applyFont="1" applyFill="1" applyBorder="1" applyAlignment="1">
      <alignment horizontal="center" vertical="center" wrapText="1"/>
    </xf>
    <xf numFmtId="49" fontId="41" fillId="2" borderId="23" xfId="0" applyNumberFormat="1" applyFont="1" applyFill="1" applyBorder="1" applyAlignment="1">
      <alignment horizontal="center" vertical="center" shrinkToFit="1"/>
    </xf>
    <xf numFmtId="49" fontId="35" fillId="2" borderId="17" xfId="0" applyNumberFormat="1" applyFont="1" applyFill="1" applyBorder="1" applyAlignment="1">
      <alignment horizontal="center" vertical="center" wrapText="1"/>
    </xf>
    <xf numFmtId="0" fontId="35" fillId="2" borderId="18" xfId="0" applyFont="1" applyFill="1" applyBorder="1" applyAlignment="1">
      <alignment horizontal="center" vertical="center" wrapText="1"/>
    </xf>
    <xf numFmtId="0" fontId="35" fillId="2" borderId="20" xfId="0" applyFont="1" applyFill="1" applyBorder="1" applyAlignment="1">
      <alignment horizontal="left" vertical="center" wrapText="1"/>
    </xf>
    <xf numFmtId="49" fontId="35" fillId="2" borderId="20" xfId="0" applyNumberFormat="1" applyFont="1" applyFill="1" applyBorder="1" applyAlignment="1">
      <alignment horizontal="center" vertical="center"/>
    </xf>
    <xf numFmtId="49" fontId="35" fillId="2" borderId="23" xfId="0" applyNumberFormat="1" applyFont="1" applyFill="1" applyBorder="1" applyAlignment="1">
      <alignment horizontal="center" vertical="center" wrapText="1"/>
    </xf>
    <xf numFmtId="0" fontId="35" fillId="2" borderId="16" xfId="0" applyFont="1" applyFill="1" applyBorder="1" applyAlignment="1">
      <alignment horizontal="left" vertical="center" wrapText="1"/>
    </xf>
    <xf numFmtId="49" fontId="35" fillId="2" borderId="16" xfId="0" applyNumberFormat="1" applyFont="1" applyFill="1" applyBorder="1" applyAlignment="1">
      <alignment horizontal="center" vertical="center"/>
    </xf>
    <xf numFmtId="49" fontId="35" fillId="2" borderId="24" xfId="0" applyNumberFormat="1" applyFont="1" applyFill="1" applyBorder="1" applyAlignment="1">
      <alignment horizontal="center" vertical="center" wrapText="1"/>
    </xf>
    <xf numFmtId="0" fontId="35" fillId="2" borderId="20" xfId="0" applyFont="1" applyFill="1" applyBorder="1" applyAlignment="1">
      <alignment horizontal="center" vertical="center"/>
    </xf>
    <xf numFmtId="49" fontId="35" fillId="2" borderId="17" xfId="0" applyNumberFormat="1" applyFont="1" applyFill="1" applyBorder="1" applyAlignment="1">
      <alignment horizontal="center" vertical="center"/>
    </xf>
    <xf numFmtId="49" fontId="35" fillId="2" borderId="21" xfId="0" applyNumberFormat="1" applyFont="1" applyFill="1" applyBorder="1" applyAlignment="1">
      <alignment horizontal="center" vertical="center"/>
    </xf>
    <xf numFmtId="0" fontId="41" fillId="2" borderId="26" xfId="0" applyFont="1" applyFill="1" applyBorder="1" applyAlignment="1">
      <alignment horizontal="left" vertical="center" wrapText="1"/>
    </xf>
    <xf numFmtId="0" fontId="41" fillId="2" borderId="20" xfId="0" applyFont="1" applyFill="1" applyBorder="1" applyAlignment="1">
      <alignment horizontal="center" vertical="center"/>
    </xf>
    <xf numFmtId="0" fontId="41" fillId="2" borderId="20" xfId="0" applyFont="1" applyFill="1" applyBorder="1" applyAlignment="1">
      <alignment horizontal="center" vertical="center" wrapText="1"/>
    </xf>
    <xf numFmtId="0" fontId="41" fillId="2" borderId="4" xfId="0" applyFont="1" applyFill="1" applyBorder="1" applyAlignment="1">
      <alignment horizontal="center" vertical="center"/>
    </xf>
    <xf numFmtId="49" fontId="41" fillId="2" borderId="4" xfId="0" applyNumberFormat="1" applyFont="1" applyFill="1" applyBorder="1" applyAlignment="1">
      <alignment horizontal="center" vertical="center"/>
    </xf>
    <xf numFmtId="49" fontId="41" fillId="2" borderId="5" xfId="0" applyNumberFormat="1" applyFont="1" applyFill="1" applyBorder="1" applyAlignment="1">
      <alignment horizontal="center" vertical="center" wrapText="1"/>
    </xf>
    <xf numFmtId="0" fontId="41" fillId="2" borderId="2" xfId="0" applyFont="1" applyFill="1" applyBorder="1" applyAlignment="1">
      <alignment horizontal="center" vertical="center"/>
    </xf>
    <xf numFmtId="49" fontId="41" fillId="2" borderId="2" xfId="0" applyNumberFormat="1" applyFont="1" applyFill="1" applyBorder="1" applyAlignment="1">
      <alignment horizontal="center" vertical="center"/>
    </xf>
    <xf numFmtId="49" fontId="41" fillId="2" borderId="6" xfId="0" applyNumberFormat="1" applyFont="1" applyFill="1" applyBorder="1" applyAlignment="1">
      <alignment horizontal="center" vertical="center" wrapText="1"/>
    </xf>
    <xf numFmtId="0" fontId="41" fillId="2" borderId="1" xfId="0" applyFont="1" applyFill="1" applyBorder="1" applyAlignment="1">
      <alignment horizontal="center" vertical="center"/>
    </xf>
    <xf numFmtId="49" fontId="41" fillId="2" borderId="1" xfId="0" applyNumberFormat="1" applyFont="1" applyFill="1" applyBorder="1" applyAlignment="1">
      <alignment horizontal="center" vertical="center"/>
    </xf>
    <xf numFmtId="49" fontId="41" fillId="2" borderId="8" xfId="0" applyNumberFormat="1" applyFont="1" applyFill="1" applyBorder="1" applyAlignment="1">
      <alignment horizontal="center" vertical="center" wrapText="1"/>
    </xf>
    <xf numFmtId="0" fontId="41" fillId="2" borderId="18" xfId="0" applyFont="1" applyFill="1" applyBorder="1" applyAlignment="1">
      <alignment horizontal="center" vertical="center"/>
    </xf>
    <xf numFmtId="49" fontId="41" fillId="2" borderId="18" xfId="0" applyNumberFormat="1" applyFont="1" applyFill="1" applyBorder="1" applyAlignment="1">
      <alignment horizontal="center" vertical="center"/>
    </xf>
    <xf numFmtId="49" fontId="41" fillId="2" borderId="21" xfId="0" applyNumberFormat="1" applyFont="1" applyFill="1" applyBorder="1" applyAlignment="1">
      <alignment horizontal="center" vertical="center"/>
    </xf>
    <xf numFmtId="4" fontId="41" fillId="2" borderId="18" xfId="0" applyNumberFormat="1" applyFont="1" applyFill="1" applyBorder="1" applyAlignment="1">
      <alignment vertical="center" wrapText="1"/>
    </xf>
    <xf numFmtId="4" fontId="36" fillId="2" borderId="0" xfId="0" applyNumberFormat="1" applyFont="1" applyFill="1" applyAlignment="1">
      <alignment vertical="center" wrapText="1"/>
    </xf>
    <xf numFmtId="4" fontId="37" fillId="2" borderId="0" xfId="0" applyNumberFormat="1" applyFont="1" applyFill="1" applyAlignment="1">
      <alignment vertical="center" wrapText="1"/>
    </xf>
    <xf numFmtId="0" fontId="40" fillId="2" borderId="0" xfId="0" applyFont="1" applyFill="1" applyAlignment="1"/>
    <xf numFmtId="4" fontId="41" fillId="2" borderId="1" xfId="0" applyNumberFormat="1" applyFont="1" applyFill="1" applyBorder="1" applyAlignment="1">
      <alignment vertical="center" wrapText="1"/>
    </xf>
    <xf numFmtId="0" fontId="41" fillId="2" borderId="16" xfId="0" applyFont="1" applyFill="1" applyBorder="1" applyAlignment="1">
      <alignment horizontal="center" vertical="center"/>
    </xf>
    <xf numFmtId="49" fontId="41" fillId="2" borderId="16" xfId="0" applyNumberFormat="1" applyFont="1" applyFill="1" applyBorder="1" applyAlignment="1">
      <alignment horizontal="center" vertical="center"/>
    </xf>
    <xf numFmtId="0" fontId="35" fillId="2" borderId="18" xfId="0" applyFont="1" applyFill="1" applyBorder="1" applyAlignment="1">
      <alignment horizontal="center" vertical="center"/>
    </xf>
    <xf numFmtId="49" fontId="35" fillId="2" borderId="18" xfId="0" applyNumberFormat="1" applyFont="1" applyFill="1" applyBorder="1" applyAlignment="1">
      <alignment horizontal="center" vertical="center"/>
    </xf>
    <xf numFmtId="4" fontId="43" fillId="2" borderId="18" xfId="0" applyNumberFormat="1" applyFont="1" applyFill="1" applyBorder="1" applyAlignment="1">
      <alignment vertical="center" wrapText="1"/>
    </xf>
    <xf numFmtId="4" fontId="42" fillId="2" borderId="4" xfId="0" applyNumberFormat="1" applyFont="1" applyFill="1" applyBorder="1" applyAlignment="1">
      <alignment vertical="center" wrapText="1"/>
    </xf>
    <xf numFmtId="0" fontId="41" fillId="2" borderId="6" xfId="0" applyFont="1" applyFill="1" applyBorder="1" applyAlignment="1">
      <alignment horizontal="center" vertical="center"/>
    </xf>
    <xf numFmtId="0" fontId="41" fillId="2" borderId="22" xfId="0" applyFont="1" applyFill="1" applyBorder="1" applyAlignment="1">
      <alignment horizontal="center" vertical="center"/>
    </xf>
    <xf numFmtId="49" fontId="35" fillId="2" borderId="17" xfId="0" applyNumberFormat="1" applyFont="1" applyFill="1" applyBorder="1" applyAlignment="1">
      <alignment horizontal="left" vertical="center" wrapText="1"/>
    </xf>
    <xf numFmtId="49" fontId="35" fillId="2" borderId="3" xfId="0" applyNumberFormat="1" applyFont="1" applyFill="1" applyBorder="1" applyAlignment="1">
      <alignment horizontal="center" vertical="center"/>
    </xf>
    <xf numFmtId="0" fontId="35" fillId="2" borderId="3" xfId="0" applyFont="1" applyFill="1" applyBorder="1" applyAlignment="1">
      <alignment horizontal="center" vertical="center"/>
    </xf>
    <xf numFmtId="0" fontId="35" fillId="2" borderId="4" xfId="0" applyFont="1" applyFill="1" applyBorder="1" applyAlignment="1">
      <alignment horizontal="left" vertical="center" wrapText="1"/>
    </xf>
    <xf numFmtId="49" fontId="35" fillId="2" borderId="4" xfId="0" applyNumberFormat="1" applyFont="1" applyFill="1" applyBorder="1" applyAlignment="1">
      <alignment horizontal="center" vertical="center"/>
    </xf>
    <xf numFmtId="0" fontId="35" fillId="2" borderId="4" xfId="0" applyFont="1" applyFill="1" applyBorder="1" applyAlignment="1">
      <alignment horizontal="center" vertical="center"/>
    </xf>
    <xf numFmtId="49" fontId="43" fillId="2" borderId="20" xfId="0" applyNumberFormat="1" applyFont="1" applyFill="1" applyBorder="1" applyAlignment="1">
      <alignment horizontal="center" vertical="center" wrapText="1"/>
    </xf>
    <xf numFmtId="49" fontId="35" fillId="2" borderId="23" xfId="0" applyNumberFormat="1" applyFont="1" applyFill="1" applyBorder="1" applyAlignment="1">
      <alignment horizontal="center" vertical="center"/>
    </xf>
    <xf numFmtId="49" fontId="35" fillId="2" borderId="24" xfId="0" applyNumberFormat="1" applyFont="1" applyFill="1" applyBorder="1" applyAlignment="1">
      <alignment horizontal="center" vertical="center"/>
    </xf>
    <xf numFmtId="0" fontId="42" fillId="2" borderId="18" xfId="0" applyFont="1" applyFill="1" applyBorder="1" applyAlignment="1">
      <alignment horizontal="center" vertical="center" wrapText="1"/>
    </xf>
    <xf numFmtId="0" fontId="42" fillId="2" borderId="2" xfId="0" applyFont="1" applyFill="1" applyBorder="1" applyAlignment="1">
      <alignment horizontal="center" vertical="center" wrapText="1"/>
    </xf>
    <xf numFmtId="0" fontId="42" fillId="2" borderId="1" xfId="0" applyFont="1" applyFill="1" applyBorder="1" applyAlignment="1">
      <alignment horizontal="center" vertical="center" wrapText="1"/>
    </xf>
    <xf numFmtId="0" fontId="41" fillId="2" borderId="1" xfId="0" applyFont="1" applyFill="1" applyBorder="1"/>
    <xf numFmtId="0" fontId="42" fillId="2" borderId="4" xfId="0" applyFont="1" applyFill="1" applyBorder="1" applyAlignment="1">
      <alignment horizontal="center" vertical="center" wrapText="1"/>
    </xf>
    <xf numFmtId="49" fontId="42" fillId="2" borderId="4" xfId="0" applyNumberFormat="1" applyFont="1" applyFill="1" applyBorder="1" applyAlignment="1">
      <alignment horizontal="center" vertical="center" wrapText="1"/>
    </xf>
    <xf numFmtId="49" fontId="42" fillId="2" borderId="2" xfId="0" applyNumberFormat="1" applyFont="1" applyFill="1" applyBorder="1" applyAlignment="1">
      <alignment horizontal="center" vertical="center" wrapText="1"/>
    </xf>
    <xf numFmtId="0" fontId="42" fillId="2" borderId="8" xfId="0" applyFont="1" applyFill="1" applyBorder="1" applyAlignment="1">
      <alignment horizontal="center" vertical="center" wrapText="1"/>
    </xf>
    <xf numFmtId="49" fontId="42" fillId="2" borderId="21" xfId="0" applyNumberFormat="1" applyFont="1" applyFill="1" applyBorder="1" applyAlignment="1">
      <alignment horizontal="center" vertical="center" wrapText="1"/>
    </xf>
    <xf numFmtId="0" fontId="42" fillId="2" borderId="21" xfId="0" applyFont="1" applyFill="1" applyBorder="1" applyAlignment="1">
      <alignment horizontal="center" vertical="center" wrapText="1"/>
    </xf>
    <xf numFmtId="0" fontId="42" fillId="2" borderId="22" xfId="0" applyFont="1" applyFill="1" applyBorder="1" applyAlignment="1">
      <alignment horizontal="center" vertical="center" wrapText="1"/>
    </xf>
    <xf numFmtId="0" fontId="41" fillId="2" borderId="20" xfId="0" applyFont="1" applyFill="1" applyBorder="1" applyAlignment="1">
      <alignment horizontal="left" vertical="center" wrapText="1"/>
    </xf>
    <xf numFmtId="0" fontId="41" fillId="2" borderId="23" xfId="0" applyFont="1" applyFill="1" applyBorder="1" applyAlignment="1">
      <alignment horizontal="left" vertical="center" wrapText="1"/>
    </xf>
    <xf numFmtId="0" fontId="42" fillId="2" borderId="20" xfId="0" applyFont="1" applyFill="1" applyBorder="1" applyAlignment="1">
      <alignment horizontal="center" vertical="center" wrapText="1"/>
    </xf>
    <xf numFmtId="49" fontId="42" fillId="2" borderId="20" xfId="0" applyNumberFormat="1" applyFont="1" applyFill="1" applyBorder="1" applyAlignment="1">
      <alignment horizontal="center" vertical="center" wrapText="1"/>
    </xf>
    <xf numFmtId="49" fontId="42" fillId="2" borderId="18" xfId="0" applyNumberFormat="1" applyFont="1" applyFill="1" applyBorder="1" applyAlignment="1">
      <alignment horizontal="center" vertical="center" wrapText="1"/>
    </xf>
    <xf numFmtId="0" fontId="42" fillId="2" borderId="23" xfId="0" applyFont="1" applyFill="1" applyBorder="1" applyAlignment="1">
      <alignment horizontal="center" vertical="center" wrapText="1"/>
    </xf>
    <xf numFmtId="49" fontId="35" fillId="2" borderId="3" xfId="0" applyNumberFormat="1" applyFont="1" applyFill="1" applyBorder="1" applyAlignment="1">
      <alignment horizontal="center" vertical="center" wrapText="1"/>
    </xf>
    <xf numFmtId="0" fontId="43" fillId="2" borderId="16" xfId="0" applyFont="1" applyFill="1" applyBorder="1" applyAlignment="1">
      <alignment horizontal="center" vertical="center" wrapText="1"/>
    </xf>
    <xf numFmtId="49" fontId="43" fillId="2" borderId="16" xfId="0" applyNumberFormat="1" applyFont="1" applyFill="1" applyBorder="1" applyAlignment="1">
      <alignment horizontal="center" vertical="center" wrapText="1"/>
    </xf>
    <xf numFmtId="0" fontId="43" fillId="2" borderId="4" xfId="0" applyFont="1" applyFill="1" applyBorder="1" applyAlignment="1">
      <alignment horizontal="center" vertical="center" wrapText="1"/>
    </xf>
    <xf numFmtId="49" fontId="43" fillId="2" borderId="4" xfId="0" applyNumberFormat="1" applyFont="1" applyFill="1" applyBorder="1" applyAlignment="1">
      <alignment horizontal="center" vertical="center" wrapText="1"/>
    </xf>
    <xf numFmtId="0" fontId="43" fillId="2" borderId="1" xfId="0" applyFont="1" applyFill="1" applyBorder="1" applyAlignment="1">
      <alignment horizontal="center" vertical="center" wrapText="1"/>
    </xf>
    <xf numFmtId="49" fontId="43" fillId="2" borderId="1" xfId="0" applyNumberFormat="1" applyFont="1" applyFill="1" applyBorder="1" applyAlignment="1">
      <alignment horizontal="center" vertical="center" wrapText="1"/>
    </xf>
    <xf numFmtId="0" fontId="35" fillId="2" borderId="1" xfId="0" applyFont="1" applyFill="1" applyBorder="1"/>
    <xf numFmtId="4" fontId="42" fillId="2" borderId="32" xfId="0" applyNumberFormat="1" applyFont="1" applyFill="1" applyBorder="1" applyAlignment="1">
      <alignment horizontal="right" vertical="center" wrapText="1"/>
    </xf>
    <xf numFmtId="0" fontId="35" fillId="2" borderId="16" xfId="0" applyNumberFormat="1" applyFont="1" applyFill="1" applyBorder="1" applyAlignment="1">
      <alignment horizontal="center" vertical="center" wrapText="1"/>
    </xf>
    <xf numFmtId="0" fontId="35" fillId="2" borderId="4" xfId="0" applyNumberFormat="1" applyFont="1" applyFill="1" applyBorder="1" applyAlignment="1">
      <alignment horizontal="center" vertical="center" wrapText="1"/>
    </xf>
    <xf numFmtId="0" fontId="41" fillId="2" borderId="5" xfId="0" applyFont="1" applyFill="1" applyBorder="1" applyAlignment="1">
      <alignment horizontal="left" vertical="center" wrapText="1"/>
    </xf>
    <xf numFmtId="0" fontId="41" fillId="2" borderId="4" xfId="0" applyFont="1" applyFill="1" applyBorder="1" applyAlignment="1">
      <alignment horizontal="left" vertical="center" wrapText="1"/>
    </xf>
    <xf numFmtId="0" fontId="41" fillId="2" borderId="13" xfId="0" applyFont="1" applyFill="1" applyBorder="1" applyAlignment="1">
      <alignment horizontal="center" vertical="center" wrapText="1"/>
    </xf>
    <xf numFmtId="4" fontId="43" fillId="2" borderId="17" xfId="0" applyNumberFormat="1" applyFont="1" applyFill="1" applyBorder="1" applyAlignment="1">
      <alignment horizontal="center" vertical="center" wrapText="1"/>
    </xf>
    <xf numFmtId="49" fontId="43" fillId="2" borderId="18" xfId="0" applyNumberFormat="1" applyFont="1" applyFill="1" applyBorder="1" applyAlignment="1">
      <alignment horizontal="center" vertical="center" wrapText="1"/>
    </xf>
    <xf numFmtId="49" fontId="43" fillId="2" borderId="21" xfId="0" applyNumberFormat="1" applyFont="1" applyFill="1" applyBorder="1" applyAlignment="1">
      <alignment horizontal="center" vertical="center" wrapText="1"/>
    </xf>
    <xf numFmtId="0" fontId="44" fillId="2" borderId="0" xfId="0" applyFont="1" applyFill="1"/>
    <xf numFmtId="0" fontId="39" fillId="2" borderId="2" xfId="0" applyFont="1" applyFill="1" applyBorder="1" applyAlignment="1">
      <alignment vertical="center" wrapText="1"/>
    </xf>
    <xf numFmtId="0" fontId="39" fillId="2" borderId="0" xfId="0" applyFont="1" applyFill="1" applyAlignment="1">
      <alignment vertical="center" wrapText="1"/>
    </xf>
    <xf numFmtId="4" fontId="36" fillId="2" borderId="0" xfId="0" applyNumberFormat="1" applyFont="1" applyFill="1" applyBorder="1" applyAlignment="1">
      <alignment horizontal="right" vertical="center" wrapText="1"/>
    </xf>
    <xf numFmtId="4" fontId="37" fillId="2" borderId="0" xfId="0" applyNumberFormat="1" applyFont="1" applyFill="1" applyBorder="1" applyAlignment="1">
      <alignment horizontal="right" vertical="center" wrapText="1"/>
    </xf>
    <xf numFmtId="0" fontId="40" fillId="2" borderId="0" xfId="0" applyFont="1" applyFill="1" applyBorder="1"/>
    <xf numFmtId="49" fontId="41" fillId="2" borderId="23" xfId="0" applyNumberFormat="1" applyFont="1" applyFill="1" applyBorder="1" applyAlignment="1">
      <alignment horizontal="center" vertical="center" wrapText="1"/>
    </xf>
    <xf numFmtId="49" fontId="39" fillId="2" borderId="20" xfId="0" applyNumberFormat="1" applyFont="1" applyFill="1" applyBorder="1" applyAlignment="1">
      <alignment horizontal="center" vertical="center" wrapText="1"/>
    </xf>
    <xf numFmtId="0" fontId="41" fillId="2" borderId="3" xfId="0" applyFont="1" applyFill="1" applyBorder="1" applyAlignment="1">
      <alignment horizontal="center" vertical="center" wrapText="1"/>
    </xf>
    <xf numFmtId="49" fontId="41" fillId="2" borderId="11" xfId="0" applyNumberFormat="1" applyFont="1" applyFill="1" applyBorder="1" applyAlignment="1">
      <alignment horizontal="center" vertical="center" wrapText="1"/>
    </xf>
    <xf numFmtId="0" fontId="35" fillId="2" borderId="17" xfId="0" applyFont="1" applyFill="1" applyBorder="1" applyAlignment="1">
      <alignment horizontal="center" vertical="center" wrapText="1"/>
    </xf>
    <xf numFmtId="49" fontId="35" fillId="2" borderId="25" xfId="0" applyNumberFormat="1" applyFont="1" applyFill="1" applyBorder="1" applyAlignment="1">
      <alignment horizontal="center" vertical="center" wrapText="1"/>
    </xf>
    <xf numFmtId="0" fontId="35" fillId="2" borderId="16" xfId="0" applyFont="1" applyFill="1" applyBorder="1" applyAlignment="1">
      <alignment vertical="center"/>
    </xf>
    <xf numFmtId="0" fontId="35" fillId="2" borderId="21" xfId="0" applyFont="1" applyFill="1" applyBorder="1" applyAlignment="1">
      <alignment horizontal="left" vertical="center" wrapText="1"/>
    </xf>
    <xf numFmtId="0" fontId="35" fillId="2" borderId="3" xfId="0" applyFont="1" applyFill="1" applyBorder="1"/>
    <xf numFmtId="0" fontId="41" fillId="2" borderId="21" xfId="0" applyFont="1" applyFill="1" applyBorder="1" applyAlignment="1">
      <alignment horizontal="left" vertical="center" wrapText="1"/>
    </xf>
    <xf numFmtId="4" fontId="41" fillId="2" borderId="32" xfId="0" applyNumberFormat="1" applyFont="1" applyFill="1" applyBorder="1" applyAlignment="1">
      <alignment horizontal="right" vertical="center" wrapText="1"/>
    </xf>
    <xf numFmtId="0" fontId="35" fillId="2" borderId="17" xfId="0" applyFont="1" applyFill="1" applyBorder="1" applyAlignment="1">
      <alignment horizontal="left" vertical="center" wrapText="1"/>
    </xf>
    <xf numFmtId="49" fontId="35" fillId="2" borderId="11" xfId="0" applyNumberFormat="1" applyFont="1" applyFill="1" applyBorder="1" applyAlignment="1">
      <alignment horizontal="center" vertical="center" wrapText="1"/>
    </xf>
    <xf numFmtId="0" fontId="35" fillId="2" borderId="2" xfId="0" applyFont="1" applyFill="1" applyBorder="1" applyAlignment="1">
      <alignment horizontal="left" vertical="center" wrapText="1"/>
    </xf>
    <xf numFmtId="49" fontId="35" fillId="2" borderId="5" xfId="0" applyNumberFormat="1" applyFont="1" applyFill="1" applyBorder="1" applyAlignment="1">
      <alignment horizontal="center" vertical="center" wrapText="1"/>
    </xf>
    <xf numFmtId="0" fontId="35" fillId="2" borderId="3" xfId="0" applyFont="1" applyFill="1" applyBorder="1" applyAlignment="1">
      <alignment horizontal="left" vertical="center" wrapText="1"/>
    </xf>
    <xf numFmtId="0" fontId="41" fillId="2" borderId="24" xfId="0" applyFont="1" applyFill="1" applyBorder="1" applyAlignment="1">
      <alignment horizontal="left" vertical="center" wrapText="1"/>
    </xf>
    <xf numFmtId="0" fontId="41" fillId="2" borderId="11" xfId="0" applyFont="1" applyFill="1" applyBorder="1" applyAlignment="1">
      <alignment horizontal="left" vertical="center" wrapText="1"/>
    </xf>
    <xf numFmtId="0" fontId="41" fillId="2" borderId="24" xfId="0" applyFont="1" applyFill="1" applyBorder="1" applyAlignment="1">
      <alignment horizontal="left" vertical="top" wrapText="1"/>
    </xf>
    <xf numFmtId="4" fontId="35" fillId="2" borderId="16" xfId="0" applyNumberFormat="1" applyFont="1" applyFill="1" applyBorder="1" applyAlignment="1">
      <alignment horizontal="center" vertical="center" wrapText="1"/>
    </xf>
    <xf numFmtId="0" fontId="39" fillId="2" borderId="0" xfId="0" applyFont="1" applyFill="1" applyAlignment="1">
      <alignment wrapText="1"/>
    </xf>
    <xf numFmtId="0" fontId="45" fillId="2" borderId="0" xfId="0" applyFont="1" applyFill="1"/>
    <xf numFmtId="49" fontId="41" fillId="2" borderId="20" xfId="0" applyNumberFormat="1" applyFont="1" applyFill="1" applyBorder="1" applyAlignment="1">
      <alignment horizontal="center" vertical="center"/>
    </xf>
    <xf numFmtId="49" fontId="41" fillId="2" borderId="19" xfId="0" applyNumberFormat="1" applyFont="1" applyFill="1" applyBorder="1" applyAlignment="1">
      <alignment horizontal="center" vertical="center"/>
    </xf>
    <xf numFmtId="49" fontId="41" fillId="2" borderId="6" xfId="0" applyNumberFormat="1" applyFont="1" applyFill="1" applyBorder="1" applyAlignment="1">
      <alignment horizontal="center" vertical="center"/>
    </xf>
    <xf numFmtId="49" fontId="41" fillId="2" borderId="8" xfId="0" applyNumberFormat="1" applyFont="1" applyFill="1" applyBorder="1" applyAlignment="1">
      <alignment horizontal="center" vertical="center"/>
    </xf>
    <xf numFmtId="49" fontId="41" fillId="2" borderId="22" xfId="0" applyNumberFormat="1" applyFont="1" applyFill="1" applyBorder="1" applyAlignment="1">
      <alignment horizontal="center" vertical="center"/>
    </xf>
    <xf numFmtId="0" fontId="35" fillId="2" borderId="16" xfId="0" applyNumberFormat="1" applyFont="1" applyFill="1" applyBorder="1" applyAlignment="1">
      <alignment horizontal="center" vertical="center"/>
    </xf>
    <xf numFmtId="49" fontId="41" fillId="2" borderId="24" xfId="0" applyNumberFormat="1" applyFont="1" applyFill="1" applyBorder="1" applyAlignment="1">
      <alignment horizontal="center" vertical="center"/>
    </xf>
    <xf numFmtId="0" fontId="41" fillId="2" borderId="2" xfId="0" applyFont="1" applyFill="1" applyBorder="1" applyAlignment="1">
      <alignment horizontal="left" vertical="center" wrapText="1"/>
    </xf>
    <xf numFmtId="0" fontId="41" fillId="2" borderId="17" xfId="0" applyFont="1" applyFill="1" applyBorder="1" applyAlignment="1">
      <alignment horizontal="left" vertical="center" wrapText="1"/>
    </xf>
    <xf numFmtId="0" fontId="41" fillId="2" borderId="17" xfId="0" applyFont="1" applyFill="1" applyBorder="1" applyAlignment="1">
      <alignment horizontal="center" vertical="center"/>
    </xf>
    <xf numFmtId="49" fontId="41" fillId="2" borderId="17" xfId="0" applyNumberFormat="1" applyFont="1" applyFill="1" applyBorder="1" applyAlignment="1">
      <alignment horizontal="center" vertical="center"/>
    </xf>
    <xf numFmtId="0" fontId="35" fillId="2" borderId="18" xfId="0" applyFont="1" applyFill="1" applyBorder="1" applyAlignment="1">
      <alignment horizontal="left" vertical="center" wrapText="1"/>
    </xf>
    <xf numFmtId="0" fontId="35" fillId="2" borderId="19" xfId="0" applyFont="1" applyFill="1" applyBorder="1" applyAlignment="1">
      <alignment horizontal="left" vertical="center" wrapText="1"/>
    </xf>
    <xf numFmtId="0" fontId="46" fillId="2" borderId="0" xfId="0" applyFont="1" applyFill="1"/>
    <xf numFmtId="0" fontId="40" fillId="2" borderId="2" xfId="0" applyFont="1" applyFill="1" applyBorder="1"/>
    <xf numFmtId="0" fontId="41" fillId="2" borderId="3" xfId="0" applyFont="1" applyFill="1" applyBorder="1" applyAlignment="1">
      <alignment horizontal="center" vertical="center"/>
    </xf>
    <xf numFmtId="49" fontId="41" fillId="2" borderId="3" xfId="0" applyNumberFormat="1" applyFont="1" applyFill="1" applyBorder="1" applyAlignment="1">
      <alignment horizontal="center" vertical="center"/>
    </xf>
    <xf numFmtId="49" fontId="41" fillId="2" borderId="11" xfId="0" applyNumberFormat="1" applyFont="1" applyFill="1" applyBorder="1" applyAlignment="1">
      <alignment horizontal="center" vertical="center"/>
    </xf>
    <xf numFmtId="0" fontId="41" fillId="2" borderId="4" xfId="0" applyFont="1" applyFill="1" applyBorder="1" applyAlignment="1">
      <alignment vertical="center"/>
    </xf>
    <xf numFmtId="49" fontId="41" fillId="2" borderId="4" xfId="0" applyNumberFormat="1" applyFont="1" applyFill="1" applyBorder="1" applyAlignment="1">
      <alignment vertical="center"/>
    </xf>
    <xf numFmtId="49" fontId="42" fillId="2" borderId="4" xfId="0" applyNumberFormat="1" applyFont="1" applyFill="1" applyBorder="1" applyAlignment="1">
      <alignment horizontal="center" vertical="center"/>
    </xf>
    <xf numFmtId="0" fontId="41" fillId="2" borderId="2" xfId="0" applyFont="1" applyFill="1" applyBorder="1" applyAlignment="1">
      <alignment vertical="center"/>
    </xf>
    <xf numFmtId="49" fontId="41" fillId="2" borderId="2" xfId="0" applyNumberFormat="1" applyFont="1" applyFill="1" applyBorder="1" applyAlignment="1">
      <alignment vertical="center"/>
    </xf>
    <xf numFmtId="49" fontId="42" fillId="2" borderId="2" xfId="0" applyNumberFormat="1" applyFont="1" applyFill="1" applyBorder="1" applyAlignment="1">
      <alignment horizontal="center" vertical="center"/>
    </xf>
    <xf numFmtId="49" fontId="41" fillId="2" borderId="5" xfId="0" applyNumberFormat="1" applyFont="1" applyFill="1" applyBorder="1" applyAlignment="1">
      <alignment horizontal="center" vertical="center"/>
    </xf>
    <xf numFmtId="0" fontId="43" fillId="2" borderId="16" xfId="0" applyFont="1" applyFill="1" applyBorder="1" applyAlignment="1">
      <alignment horizontal="center" vertical="center"/>
    </xf>
    <xf numFmtId="0" fontId="42" fillId="2" borderId="18" xfId="0" applyFont="1" applyFill="1" applyBorder="1" applyAlignment="1">
      <alignment horizontal="center" vertical="center"/>
    </xf>
    <xf numFmtId="49" fontId="42" fillId="2" borderId="18" xfId="0" applyNumberFormat="1" applyFont="1" applyFill="1" applyBorder="1" applyAlignment="1">
      <alignment horizontal="center" vertical="center"/>
    </xf>
    <xf numFmtId="0" fontId="42" fillId="2" borderId="2" xfId="0" applyFont="1" applyFill="1" applyBorder="1" applyAlignment="1">
      <alignment vertical="center"/>
    </xf>
    <xf numFmtId="4" fontId="42" fillId="2" borderId="2" xfId="0" applyNumberFormat="1" applyFont="1" applyFill="1" applyBorder="1" applyAlignment="1">
      <alignment vertical="center"/>
    </xf>
    <xf numFmtId="0" fontId="42" fillId="2" borderId="3" xfId="0" applyFont="1" applyFill="1" applyBorder="1" applyAlignment="1">
      <alignment vertical="center"/>
    </xf>
    <xf numFmtId="49" fontId="42" fillId="2" borderId="3" xfId="0" applyNumberFormat="1" applyFont="1" applyFill="1" applyBorder="1" applyAlignment="1">
      <alignment horizontal="center" vertical="center"/>
    </xf>
    <xf numFmtId="4" fontId="43" fillId="2" borderId="26" xfId="0" applyNumberFormat="1" applyFont="1" applyFill="1" applyBorder="1" applyAlignment="1">
      <alignment horizontal="right" vertical="center" wrapText="1"/>
    </xf>
    <xf numFmtId="49" fontId="42" fillId="2" borderId="19" xfId="0" applyNumberFormat="1" applyFont="1" applyFill="1" applyBorder="1" applyAlignment="1">
      <alignment horizontal="center" vertical="center"/>
    </xf>
    <xf numFmtId="0" fontId="42" fillId="2" borderId="2" xfId="0" applyFont="1" applyFill="1" applyBorder="1" applyAlignment="1">
      <alignment horizontal="center" vertical="center"/>
    </xf>
    <xf numFmtId="49" fontId="42" fillId="2" borderId="6" xfId="0" applyNumberFormat="1" applyFont="1" applyFill="1" applyBorder="1" applyAlignment="1">
      <alignment horizontal="center" vertical="center"/>
    </xf>
    <xf numFmtId="0" fontId="42" fillId="2" borderId="21" xfId="0" applyFont="1" applyFill="1" applyBorder="1" applyAlignment="1">
      <alignment horizontal="center" vertical="center"/>
    </xf>
    <xf numFmtId="49" fontId="42" fillId="2" borderId="21" xfId="0" applyNumberFormat="1" applyFont="1" applyFill="1" applyBorder="1" applyAlignment="1">
      <alignment horizontal="center" vertical="center"/>
    </xf>
    <xf numFmtId="49" fontId="42" fillId="2" borderId="22" xfId="0" applyNumberFormat="1" applyFont="1" applyFill="1" applyBorder="1" applyAlignment="1">
      <alignment horizontal="center" vertical="center"/>
    </xf>
    <xf numFmtId="2" fontId="42" fillId="2" borderId="21" xfId="0" applyNumberFormat="1" applyFont="1" applyFill="1" applyBorder="1" applyAlignment="1">
      <alignment vertical="center"/>
    </xf>
    <xf numFmtId="49" fontId="42" fillId="2" borderId="20" xfId="0" applyNumberFormat="1" applyFont="1" applyFill="1" applyBorder="1" applyAlignment="1">
      <alignment horizontal="center" vertical="center"/>
    </xf>
    <xf numFmtId="4" fontId="42" fillId="2" borderId="36" xfId="0" applyNumberFormat="1" applyFont="1" applyFill="1" applyBorder="1" applyAlignment="1">
      <alignment vertical="center" wrapText="1"/>
    </xf>
    <xf numFmtId="49" fontId="42" fillId="2" borderId="11" xfId="0" applyNumberFormat="1" applyFont="1" applyFill="1" applyBorder="1" applyAlignment="1">
      <alignment horizontal="center" vertical="center"/>
    </xf>
    <xf numFmtId="0" fontId="42" fillId="2" borderId="16" xfId="0" applyFont="1" applyFill="1" applyBorder="1" applyAlignment="1">
      <alignment horizontal="center" vertical="center"/>
    </xf>
    <xf numFmtId="49" fontId="42" fillId="2" borderId="16" xfId="0" applyNumberFormat="1" applyFont="1" applyFill="1" applyBorder="1" applyAlignment="1">
      <alignment horizontal="center" vertical="center"/>
    </xf>
    <xf numFmtId="4" fontId="42" fillId="2" borderId="26" xfId="0" applyNumberFormat="1" applyFont="1" applyFill="1" applyBorder="1" applyAlignment="1">
      <alignment horizontal="right" vertical="center" wrapText="1"/>
    </xf>
    <xf numFmtId="2" fontId="42" fillId="2" borderId="16" xfId="0" applyNumberFormat="1" applyFont="1" applyFill="1" applyBorder="1" applyAlignment="1">
      <alignment horizontal="right" vertical="center"/>
    </xf>
    <xf numFmtId="4" fontId="6" fillId="2" borderId="0" xfId="0" applyNumberFormat="1" applyFont="1" applyFill="1" applyAlignment="1">
      <alignment horizontal="right" vertical="center" wrapText="1"/>
    </xf>
    <xf numFmtId="0" fontId="35" fillId="2" borderId="3" xfId="0" applyNumberFormat="1" applyFont="1" applyFill="1" applyBorder="1" applyAlignment="1">
      <alignment horizontal="center" vertical="center"/>
    </xf>
    <xf numFmtId="0" fontId="8" fillId="2" borderId="0" xfId="0" applyFont="1" applyFill="1" applyBorder="1" applyAlignment="1">
      <alignment vertical="center" wrapText="1"/>
    </xf>
    <xf numFmtId="0" fontId="16" fillId="2" borderId="0" xfId="0" applyFont="1" applyFill="1" applyBorder="1" applyAlignment="1">
      <alignment vertical="center" wrapText="1"/>
    </xf>
    <xf numFmtId="0" fontId="22" fillId="2" borderId="0" xfId="0" applyFont="1" applyFill="1" applyAlignment="1">
      <alignment horizontal="right" vertical="top" wrapText="1"/>
    </xf>
    <xf numFmtId="4" fontId="41" fillId="0" borderId="1" xfId="0" applyNumberFormat="1" applyFont="1" applyFill="1" applyBorder="1" applyAlignment="1">
      <alignment horizontal="right" vertical="center"/>
    </xf>
    <xf numFmtId="4" fontId="41" fillId="0" borderId="4" xfId="0" applyNumberFormat="1" applyFont="1" applyFill="1" applyBorder="1" applyAlignment="1">
      <alignment horizontal="right" vertical="center"/>
    </xf>
    <xf numFmtId="0" fontId="35" fillId="2" borderId="3" xfId="0" applyFont="1" applyFill="1" applyBorder="1" applyAlignment="1">
      <alignment horizontal="center" vertical="center" wrapText="1"/>
    </xf>
    <xf numFmtId="0" fontId="35" fillId="2" borderId="17" xfId="0" applyFont="1" applyFill="1" applyBorder="1" applyAlignment="1">
      <alignment horizontal="center" vertical="center" wrapText="1"/>
    </xf>
    <xf numFmtId="0" fontId="35" fillId="2" borderId="20" xfId="0" applyFont="1" applyFill="1" applyBorder="1" applyAlignment="1">
      <alignment horizontal="center" vertical="center" wrapText="1"/>
    </xf>
    <xf numFmtId="0" fontId="35" fillId="2" borderId="17" xfId="0" applyFont="1" applyFill="1" applyBorder="1" applyAlignment="1">
      <alignment horizontal="left" vertical="center" wrapText="1"/>
    </xf>
    <xf numFmtId="0" fontId="35" fillId="2" borderId="3" xfId="0" applyFont="1" applyFill="1" applyBorder="1" applyAlignment="1">
      <alignment horizontal="left" vertical="center" wrapText="1"/>
    </xf>
    <xf numFmtId="0" fontId="35" fillId="2" borderId="20" xfId="0" applyFont="1" applyFill="1" applyBorder="1" applyAlignment="1">
      <alignment horizontal="left" vertical="center" wrapText="1"/>
    </xf>
    <xf numFmtId="0" fontId="35" fillId="2" borderId="17" xfId="0" applyFont="1" applyFill="1" applyBorder="1" applyAlignment="1">
      <alignment horizontal="center" vertical="center"/>
    </xf>
    <xf numFmtId="0" fontId="35" fillId="2" borderId="3" xfId="0" applyFont="1" applyFill="1" applyBorder="1" applyAlignment="1">
      <alignment horizontal="center" vertical="center"/>
    </xf>
    <xf numFmtId="0" fontId="35" fillId="2" borderId="20" xfId="0" applyFont="1" applyFill="1" applyBorder="1" applyAlignment="1">
      <alignment horizontal="center" vertical="center"/>
    </xf>
    <xf numFmtId="0" fontId="41" fillId="2" borderId="3" xfId="0" applyFont="1" applyFill="1" applyBorder="1" applyAlignment="1">
      <alignment horizontal="left" vertical="center" wrapText="1"/>
    </xf>
    <xf numFmtId="4" fontId="35" fillId="2" borderId="17" xfId="0" applyNumberFormat="1" applyFont="1" applyFill="1" applyBorder="1" applyAlignment="1">
      <alignment horizontal="right" vertical="center" wrapText="1"/>
    </xf>
    <xf numFmtId="4" fontId="35" fillId="2" borderId="20" xfId="0" applyNumberFormat="1" applyFont="1" applyFill="1" applyBorder="1" applyAlignment="1">
      <alignment horizontal="right" vertical="center" wrapText="1"/>
    </xf>
    <xf numFmtId="4" fontId="43" fillId="2" borderId="17" xfId="0" applyNumberFormat="1" applyFont="1" applyFill="1" applyBorder="1" applyAlignment="1">
      <alignment horizontal="right" vertical="center" wrapText="1"/>
    </xf>
    <xf numFmtId="4" fontId="43" fillId="2" borderId="20" xfId="0" applyNumberFormat="1" applyFont="1" applyFill="1" applyBorder="1" applyAlignment="1">
      <alignment horizontal="right" vertical="center" wrapText="1"/>
    </xf>
    <xf numFmtId="0" fontId="41" fillId="2" borderId="17" xfId="0" applyFont="1" applyFill="1" applyBorder="1" applyAlignment="1">
      <alignment horizontal="left" vertical="center" wrapText="1"/>
    </xf>
    <xf numFmtId="0" fontId="41" fillId="2" borderId="20" xfId="0" applyFont="1" applyFill="1" applyBorder="1" applyAlignment="1">
      <alignment horizontal="left" vertical="center" wrapText="1"/>
    </xf>
    <xf numFmtId="49" fontId="35" fillId="2" borderId="17" xfId="0" applyNumberFormat="1" applyFont="1" applyFill="1" applyBorder="1" applyAlignment="1">
      <alignment horizontal="left" vertical="center" wrapText="1"/>
    </xf>
    <xf numFmtId="49" fontId="35" fillId="2" borderId="20" xfId="0" applyNumberFormat="1" applyFont="1" applyFill="1" applyBorder="1" applyAlignment="1">
      <alignment horizontal="left" vertical="center" wrapText="1"/>
    </xf>
    <xf numFmtId="0" fontId="41" fillId="2" borderId="18" xfId="0" applyFont="1" applyFill="1" applyBorder="1" applyAlignment="1">
      <alignment horizontal="left" vertical="center" wrapText="1"/>
    </xf>
    <xf numFmtId="0" fontId="41" fillId="2" borderId="2" xfId="0" applyFont="1" applyFill="1" applyBorder="1" applyAlignment="1">
      <alignment horizontal="left" vertical="center" wrapText="1"/>
    </xf>
    <xf numFmtId="0" fontId="41" fillId="2" borderId="21" xfId="0" applyFont="1" applyFill="1" applyBorder="1" applyAlignment="1">
      <alignment horizontal="left" vertical="center" wrapText="1"/>
    </xf>
    <xf numFmtId="0" fontId="35" fillId="2" borderId="27" xfId="0" applyFont="1" applyFill="1" applyBorder="1" applyAlignment="1">
      <alignment horizontal="center" vertical="center" wrapText="1"/>
    </xf>
    <xf numFmtId="0" fontId="35" fillId="2" borderId="29" xfId="0" applyFont="1" applyFill="1" applyBorder="1" applyAlignment="1">
      <alignment horizontal="center" vertical="center" wrapText="1"/>
    </xf>
    <xf numFmtId="0" fontId="35" fillId="2" borderId="31" xfId="0" applyFont="1" applyFill="1" applyBorder="1" applyAlignment="1">
      <alignment horizontal="center" vertical="center" wrapText="1"/>
    </xf>
    <xf numFmtId="4" fontId="41" fillId="2" borderId="3" xfId="0" applyNumberFormat="1" applyFont="1" applyFill="1" applyBorder="1" applyAlignment="1">
      <alignment horizontal="right" vertical="center" wrapText="1"/>
    </xf>
    <xf numFmtId="0" fontId="41" fillId="2" borderId="17" xfId="0" applyFont="1" applyFill="1" applyBorder="1" applyAlignment="1">
      <alignment horizontal="left" vertical="top" wrapText="1"/>
    </xf>
    <xf numFmtId="0" fontId="41" fillId="2" borderId="20" xfId="0" applyFont="1" applyFill="1" applyBorder="1" applyAlignment="1">
      <alignment horizontal="left" vertical="top" wrapText="1"/>
    </xf>
    <xf numFmtId="0" fontId="35" fillId="2" borderId="25" xfId="0" applyFont="1" applyFill="1" applyBorder="1" applyAlignment="1">
      <alignment horizontal="left" vertical="top" wrapText="1"/>
    </xf>
    <xf numFmtId="0" fontId="35" fillId="2" borderId="23" xfId="0" applyFont="1" applyFill="1" applyBorder="1" applyAlignment="1">
      <alignment horizontal="left" vertical="top" wrapText="1"/>
    </xf>
    <xf numFmtId="4" fontId="35" fillId="2" borderId="18" xfId="0" applyNumberFormat="1" applyFont="1" applyFill="1" applyBorder="1" applyAlignment="1">
      <alignment horizontal="center" vertical="center" wrapText="1"/>
    </xf>
    <xf numFmtId="4" fontId="35" fillId="2" borderId="21" xfId="0" applyNumberFormat="1" applyFont="1" applyFill="1" applyBorder="1" applyAlignment="1">
      <alignment horizontal="center" vertical="center" wrapText="1"/>
    </xf>
    <xf numFmtId="4" fontId="41" fillId="2" borderId="28" xfId="0" applyNumberFormat="1" applyFont="1" applyFill="1" applyBorder="1" applyAlignment="1">
      <alignment horizontal="right" vertical="center" wrapText="1"/>
    </xf>
    <xf numFmtId="4" fontId="41" fillId="2" borderId="30" xfId="0" applyNumberFormat="1" applyFont="1" applyFill="1" applyBorder="1" applyAlignment="1">
      <alignment horizontal="right" vertical="center" wrapText="1"/>
    </xf>
    <xf numFmtId="4" fontId="42" fillId="2" borderId="3" xfId="0" applyNumberFormat="1" applyFont="1" applyFill="1" applyBorder="1" applyAlignment="1">
      <alignment horizontal="right" vertical="center" wrapText="1"/>
    </xf>
    <xf numFmtId="0" fontId="41" fillId="2" borderId="18" xfId="0" applyFont="1" applyFill="1" applyBorder="1" applyAlignment="1">
      <alignment vertical="top" wrapText="1"/>
    </xf>
    <xf numFmtId="0" fontId="41" fillId="2" borderId="2" xfId="0" applyFont="1" applyFill="1" applyBorder="1" applyAlignment="1">
      <alignment vertical="top" wrapText="1"/>
    </xf>
    <xf numFmtId="4" fontId="41" fillId="2" borderId="17" xfId="0" applyNumberFormat="1" applyFont="1" applyFill="1" applyBorder="1" applyAlignment="1">
      <alignment horizontal="right" vertical="center" wrapText="1"/>
    </xf>
    <xf numFmtId="0" fontId="0" fillId="2" borderId="20" xfId="0" applyFill="1" applyBorder="1" applyAlignment="1">
      <alignment horizontal="right" vertical="center" wrapText="1"/>
    </xf>
    <xf numFmtId="0" fontId="35" fillId="2" borderId="3" xfId="0" applyNumberFormat="1" applyFont="1" applyFill="1" applyBorder="1" applyAlignment="1">
      <alignment horizontal="center" vertical="center" wrapText="1"/>
    </xf>
    <xf numFmtId="4" fontId="42" fillId="2" borderId="17" xfId="0" applyNumberFormat="1" applyFont="1" applyFill="1" applyBorder="1" applyAlignment="1">
      <alignment horizontal="right" vertical="center" wrapText="1"/>
    </xf>
    <xf numFmtId="4" fontId="42" fillId="2" borderId="20" xfId="0" applyNumberFormat="1" applyFont="1" applyFill="1" applyBorder="1" applyAlignment="1">
      <alignment horizontal="right" vertical="center" wrapText="1"/>
    </xf>
    <xf numFmtId="0" fontId="35" fillId="2" borderId="25" xfId="0" applyFont="1" applyFill="1" applyBorder="1" applyAlignment="1">
      <alignment horizontal="left" vertical="center" wrapText="1"/>
    </xf>
    <xf numFmtId="0" fontId="35" fillId="2" borderId="23" xfId="0" applyFont="1" applyFill="1" applyBorder="1" applyAlignment="1">
      <alignment horizontal="left" vertical="center" wrapText="1"/>
    </xf>
    <xf numFmtId="0" fontId="35" fillId="2" borderId="3" xfId="0" applyNumberFormat="1" applyFont="1" applyFill="1" applyBorder="1" applyAlignment="1">
      <alignment horizontal="center" vertical="center"/>
    </xf>
    <xf numFmtId="0" fontId="35" fillId="2" borderId="20" xfId="0" applyNumberFormat="1" applyFont="1" applyFill="1" applyBorder="1" applyAlignment="1">
      <alignment horizontal="center" vertical="center"/>
    </xf>
    <xf numFmtId="4" fontId="43" fillId="2" borderId="3" xfId="0" applyNumberFormat="1" applyFont="1" applyFill="1" applyBorder="1" applyAlignment="1">
      <alignment horizontal="right" vertical="center" wrapText="1"/>
    </xf>
    <xf numFmtId="0" fontId="42" fillId="2" borderId="17" xfId="0" applyFont="1" applyFill="1" applyBorder="1" applyAlignment="1">
      <alignment horizontal="left" vertical="center" wrapText="1"/>
    </xf>
    <xf numFmtId="0" fontId="42" fillId="2" borderId="3" xfId="0" applyFont="1" applyFill="1" applyBorder="1" applyAlignment="1">
      <alignment horizontal="left" vertical="center" wrapText="1"/>
    </xf>
    <xf numFmtId="0" fontId="42" fillId="2" borderId="20" xfId="0" applyFont="1" applyFill="1" applyBorder="1" applyAlignment="1">
      <alignment horizontal="left" vertical="center" wrapText="1"/>
    </xf>
    <xf numFmtId="49" fontId="41" fillId="2" borderId="3" xfId="0" applyNumberFormat="1" applyFont="1" applyFill="1" applyBorder="1" applyAlignment="1">
      <alignment horizontal="center" vertical="center" wrapText="1"/>
    </xf>
    <xf numFmtId="4" fontId="35" fillId="2" borderId="4" xfId="0" applyNumberFormat="1" applyFont="1" applyFill="1" applyBorder="1" applyAlignment="1">
      <alignment horizontal="center" vertical="center" wrapText="1"/>
    </xf>
    <xf numFmtId="4" fontId="35" fillId="2" borderId="1" xfId="0" applyNumberFormat="1" applyFont="1" applyFill="1" applyBorder="1" applyAlignment="1">
      <alignment horizontal="center" vertical="center" wrapText="1"/>
    </xf>
    <xf numFmtId="49" fontId="35" fillId="2" borderId="25" xfId="0" applyNumberFormat="1" applyFont="1" applyFill="1" applyBorder="1" applyAlignment="1">
      <alignment horizontal="left" vertical="center" wrapText="1"/>
    </xf>
    <xf numFmtId="49" fontId="35" fillId="2" borderId="23" xfId="0" applyNumberFormat="1" applyFont="1" applyFill="1" applyBorder="1" applyAlignment="1">
      <alignment horizontal="left" vertical="center" wrapText="1"/>
    </xf>
    <xf numFmtId="0" fontId="35" fillId="2" borderId="33" xfId="0" applyFont="1" applyFill="1" applyBorder="1" applyAlignment="1">
      <alignment horizontal="center" vertical="center" wrapText="1"/>
    </xf>
    <xf numFmtId="0" fontId="35" fillId="2" borderId="34" xfId="0" applyFont="1" applyFill="1" applyBorder="1" applyAlignment="1">
      <alignment horizontal="center" vertical="center" wrapText="1"/>
    </xf>
    <xf numFmtId="0" fontId="35" fillId="2" borderId="35" xfId="0" applyFont="1" applyFill="1" applyBorder="1" applyAlignment="1">
      <alignment horizontal="center" vertical="center" wrapText="1"/>
    </xf>
    <xf numFmtId="4" fontId="41" fillId="2" borderId="20" xfId="0" applyNumberFormat="1" applyFont="1" applyFill="1" applyBorder="1" applyAlignment="1">
      <alignment horizontal="right" vertical="center" wrapText="1"/>
    </xf>
    <xf numFmtId="4" fontId="42" fillId="2" borderId="28" xfId="0" applyNumberFormat="1" applyFont="1" applyFill="1" applyBorder="1" applyAlignment="1">
      <alignment horizontal="right" vertical="center" wrapText="1"/>
    </xf>
    <xf numFmtId="4" fontId="42" fillId="2" borderId="30" xfId="0" applyNumberFormat="1" applyFont="1" applyFill="1" applyBorder="1" applyAlignment="1">
      <alignment horizontal="right" vertical="center" wrapText="1"/>
    </xf>
    <xf numFmtId="4" fontId="35" fillId="2" borderId="17" xfId="0" applyNumberFormat="1" applyFont="1" applyFill="1" applyBorder="1" applyAlignment="1">
      <alignment horizontal="center" vertical="center" wrapText="1"/>
    </xf>
    <xf numFmtId="4" fontId="35" fillId="2" borderId="20" xfId="0" applyNumberFormat="1" applyFont="1" applyFill="1" applyBorder="1" applyAlignment="1">
      <alignment horizontal="center" vertical="center" wrapText="1"/>
    </xf>
    <xf numFmtId="49" fontId="41" fillId="2" borderId="3" xfId="0" applyNumberFormat="1" applyFont="1" applyFill="1" applyBorder="1" applyAlignment="1">
      <alignment horizontal="center" vertical="center" shrinkToFit="1"/>
    </xf>
    <xf numFmtId="4" fontId="35" fillId="2" borderId="17" xfId="0" applyNumberFormat="1" applyFont="1" applyFill="1" applyBorder="1" applyAlignment="1">
      <alignment horizontal="center" vertical="center"/>
    </xf>
    <xf numFmtId="4" fontId="35" fillId="2" borderId="20" xfId="0" applyNumberFormat="1" applyFont="1" applyFill="1" applyBorder="1" applyAlignment="1">
      <alignment horizontal="center" vertical="center"/>
    </xf>
    <xf numFmtId="0" fontId="35" fillId="2" borderId="1" xfId="0" applyFont="1" applyFill="1" applyBorder="1" applyAlignment="1">
      <alignment horizontal="center" vertical="center" wrapText="1"/>
    </xf>
    <xf numFmtId="0" fontId="35" fillId="2" borderId="17" xfId="0" applyNumberFormat="1" applyFont="1" applyFill="1" applyBorder="1" applyAlignment="1">
      <alignment horizontal="center" vertical="center" wrapText="1"/>
    </xf>
    <xf numFmtId="0" fontId="35" fillId="2" borderId="20" xfId="0" applyNumberFormat="1" applyFont="1" applyFill="1" applyBorder="1" applyAlignment="1">
      <alignment horizontal="center" vertical="center" wrapText="1"/>
    </xf>
    <xf numFmtId="0" fontId="35" fillId="2" borderId="4" xfId="0" applyNumberFormat="1" applyFont="1" applyFill="1" applyBorder="1" applyAlignment="1">
      <alignment horizontal="center" vertical="center" wrapText="1"/>
    </xf>
    <xf numFmtId="0" fontId="35" fillId="2" borderId="4" xfId="0" applyFont="1" applyFill="1" applyBorder="1" applyAlignment="1">
      <alignment horizontal="center" vertical="center" wrapText="1"/>
    </xf>
    <xf numFmtId="0" fontId="35" fillId="2" borderId="1" xfId="0" applyNumberFormat="1" applyFont="1" applyFill="1" applyBorder="1" applyAlignment="1">
      <alignment horizontal="center" vertical="center" wrapText="1"/>
    </xf>
    <xf numFmtId="0" fontId="41" fillId="2" borderId="4" xfId="0" applyFont="1" applyFill="1" applyBorder="1" applyAlignment="1">
      <alignment horizontal="left" vertical="center" wrapText="1"/>
    </xf>
    <xf numFmtId="0" fontId="24" fillId="2" borderId="0" xfId="0" applyFont="1" applyFill="1" applyAlignment="1">
      <alignment horizontal="center" vertical="top" wrapText="1"/>
    </xf>
    <xf numFmtId="0" fontId="23" fillId="2" borderId="0" xfId="0" applyFont="1" applyFill="1" applyAlignment="1">
      <alignment horizontal="center" vertical="top" wrapText="1"/>
    </xf>
    <xf numFmtId="0" fontId="27" fillId="2" borderId="2" xfId="0" applyFont="1" applyFill="1" applyBorder="1" applyAlignment="1">
      <alignment horizontal="center" vertical="center" wrapText="1"/>
    </xf>
    <xf numFmtId="0" fontId="35" fillId="2" borderId="2" xfId="0" applyFont="1" applyFill="1" applyBorder="1" applyAlignment="1">
      <alignment horizontal="center" vertical="center" wrapText="1"/>
    </xf>
    <xf numFmtId="0" fontId="35" fillId="2" borderId="8" xfId="0" applyFont="1" applyFill="1" applyBorder="1" applyAlignment="1">
      <alignment horizontal="center" vertical="center" wrapText="1"/>
    </xf>
    <xf numFmtId="0" fontId="35" fillId="2" borderId="11" xfId="0" applyFont="1" applyFill="1" applyBorder="1" applyAlignment="1">
      <alignment horizontal="center" vertical="center" wrapText="1"/>
    </xf>
    <xf numFmtId="0" fontId="39" fillId="2" borderId="4" xfId="0" applyFont="1" applyFill="1" applyBorder="1" applyAlignment="1">
      <alignment horizontal="center" vertical="center" wrapText="1"/>
    </xf>
    <xf numFmtId="0" fontId="35" fillId="2" borderId="2" xfId="0" applyFont="1" applyFill="1" applyBorder="1" applyAlignment="1">
      <alignment horizontal="left" vertical="top" wrapText="1"/>
    </xf>
    <xf numFmtId="49" fontId="27" fillId="2" borderId="2" xfId="0" applyNumberFormat="1" applyFont="1" applyFill="1" applyBorder="1" applyAlignment="1">
      <alignment horizontal="center" vertical="center" wrapText="1"/>
    </xf>
    <xf numFmtId="0" fontId="35" fillId="2" borderId="15" xfId="0" applyFont="1" applyFill="1" applyBorder="1" applyAlignment="1">
      <alignment horizontal="center" vertical="center" wrapText="1"/>
    </xf>
    <xf numFmtId="0" fontId="35" fillId="2" borderId="14" xfId="0" applyFont="1" applyFill="1" applyBorder="1" applyAlignment="1">
      <alignment horizontal="center" vertical="center" wrapText="1"/>
    </xf>
    <xf numFmtId="0" fontId="35" fillId="2" borderId="5" xfId="0" applyFont="1" applyFill="1" applyBorder="1" applyAlignment="1">
      <alignment horizontal="center" vertical="center" wrapText="1"/>
    </xf>
    <xf numFmtId="0" fontId="35" fillId="2" borderId="9" xfId="0" applyFont="1" applyFill="1" applyBorder="1" applyAlignment="1">
      <alignment horizontal="center" vertical="center" wrapText="1"/>
    </xf>
    <xf numFmtId="0" fontId="35" fillId="2" borderId="13" xfId="0" applyFont="1" applyFill="1" applyBorder="1" applyAlignment="1">
      <alignment horizontal="center" vertical="center" wrapText="1"/>
    </xf>
    <xf numFmtId="4" fontId="42" fillId="2" borderId="4" xfId="0" applyNumberFormat="1" applyFont="1" applyFill="1" applyBorder="1" applyAlignment="1">
      <alignment horizontal="right" vertical="center" wrapText="1"/>
    </xf>
    <xf numFmtId="4" fontId="42" fillId="2" borderId="1" xfId="0" applyNumberFormat="1" applyFont="1" applyFill="1" applyBorder="1" applyAlignment="1">
      <alignment horizontal="right" vertical="center" wrapText="1"/>
    </xf>
    <xf numFmtId="4" fontId="42" fillId="2" borderId="18" xfId="0" applyNumberFormat="1" applyFont="1" applyFill="1" applyBorder="1" applyAlignment="1">
      <alignment horizontal="right" vertical="center" wrapText="1"/>
    </xf>
    <xf numFmtId="4" fontId="42" fillId="2" borderId="21" xfId="0" applyNumberFormat="1" applyFont="1" applyFill="1" applyBorder="1" applyAlignment="1">
      <alignment horizontal="right" vertical="center" wrapText="1"/>
    </xf>
    <xf numFmtId="0" fontId="35" fillId="2" borderId="18" xfId="0" applyFont="1" applyFill="1" applyBorder="1" applyAlignment="1">
      <alignment horizontal="left" vertical="center" wrapText="1"/>
    </xf>
    <xf numFmtId="0" fontId="35" fillId="2" borderId="21" xfId="0" applyFont="1" applyFill="1" applyBorder="1" applyAlignment="1">
      <alignment horizontal="left" vertical="center" wrapText="1"/>
    </xf>
    <xf numFmtId="4" fontId="41" fillId="2" borderId="17" xfId="0" applyNumberFormat="1" applyFont="1" applyFill="1" applyBorder="1" applyAlignment="1">
      <alignment horizontal="center" vertical="center" wrapText="1"/>
    </xf>
    <xf numFmtId="4" fontId="41" fillId="2" borderId="3" xfId="0" applyNumberFormat="1" applyFont="1" applyFill="1" applyBorder="1" applyAlignment="1">
      <alignment horizontal="center" vertical="center" wrapText="1"/>
    </xf>
    <xf numFmtId="4" fontId="41" fillId="2" borderId="4" xfId="0" applyNumberFormat="1" applyFont="1" applyFill="1" applyBorder="1" applyAlignment="1">
      <alignment horizontal="center" vertical="center" wrapText="1"/>
    </xf>
    <xf numFmtId="0" fontId="41" fillId="2" borderId="17" xfId="0" applyFont="1" applyFill="1" applyBorder="1" applyAlignment="1">
      <alignment horizontal="center" vertical="center" wrapText="1"/>
    </xf>
    <xf numFmtId="0" fontId="41" fillId="2" borderId="3" xfId="0" applyFont="1" applyFill="1" applyBorder="1" applyAlignment="1">
      <alignment horizontal="center" vertical="center" wrapText="1"/>
    </xf>
    <xf numFmtId="0" fontId="41" fillId="2" borderId="4" xfId="0" applyFont="1" applyFill="1" applyBorder="1" applyAlignment="1">
      <alignment horizontal="center" vertical="center" wrapText="1"/>
    </xf>
    <xf numFmtId="0" fontId="0" fillId="2" borderId="20" xfId="0" applyFill="1" applyBorder="1" applyAlignment="1">
      <alignment horizontal="center" vertical="center"/>
    </xf>
    <xf numFmtId="0" fontId="0" fillId="2" borderId="20" xfId="0" applyFill="1" applyBorder="1" applyAlignment="1">
      <alignment horizontal="left" vertical="center" wrapText="1"/>
    </xf>
    <xf numFmtId="0" fontId="0" fillId="2" borderId="20" xfId="0" applyFill="1" applyBorder="1" applyAlignment="1">
      <alignment horizontal="center" vertical="center" wrapText="1"/>
    </xf>
    <xf numFmtId="0" fontId="35" fillId="2" borderId="17" xfId="0" applyNumberFormat="1" applyFont="1" applyFill="1" applyBorder="1" applyAlignment="1">
      <alignment horizontal="center" vertical="center"/>
    </xf>
    <xf numFmtId="0" fontId="0" fillId="2" borderId="3" xfId="0" applyFill="1" applyBorder="1" applyAlignment="1">
      <alignment horizontal="center" vertical="center"/>
    </xf>
    <xf numFmtId="0" fontId="0" fillId="2" borderId="3" xfId="0" applyFill="1" applyBorder="1" applyAlignment="1">
      <alignment horizontal="left" vertical="center" wrapText="1"/>
    </xf>
    <xf numFmtId="0" fontId="0" fillId="2" borderId="4" xfId="0" applyFill="1" applyBorder="1" applyAlignment="1">
      <alignment horizontal="right" vertical="center" wrapText="1"/>
    </xf>
    <xf numFmtId="4" fontId="42" fillId="2" borderId="1" xfId="0" applyNumberFormat="1" applyFont="1" applyFill="1" applyBorder="1" applyAlignment="1">
      <alignment horizontal="center" vertical="center" wrapText="1"/>
    </xf>
    <xf numFmtId="0" fontId="0" fillId="2" borderId="4" xfId="0" applyFill="1" applyBorder="1" applyAlignment="1">
      <alignment horizontal="center" vertical="center" wrapText="1"/>
    </xf>
    <xf numFmtId="4" fontId="42" fillId="2" borderId="17" xfId="0" applyNumberFormat="1" applyFont="1" applyFill="1" applyBorder="1" applyAlignment="1">
      <alignment horizontal="center" vertical="center" wrapText="1"/>
    </xf>
    <xf numFmtId="4" fontId="42" fillId="2" borderId="3" xfId="0" applyNumberFormat="1" applyFont="1" applyFill="1" applyBorder="1" applyAlignment="1">
      <alignment horizontal="center" vertical="center" wrapText="1"/>
    </xf>
    <xf numFmtId="0" fontId="43" fillId="2" borderId="17" xfId="0" applyNumberFormat="1" applyFont="1" applyFill="1" applyBorder="1" applyAlignment="1">
      <alignment horizontal="center" vertical="center"/>
    </xf>
    <xf numFmtId="0" fontId="43" fillId="2" borderId="3" xfId="0" applyNumberFormat="1" applyFont="1" applyFill="1" applyBorder="1" applyAlignment="1">
      <alignment horizontal="center" vertical="center"/>
    </xf>
    <xf numFmtId="0" fontId="43" fillId="2" borderId="17" xfId="0" applyFont="1" applyFill="1" applyBorder="1" applyAlignment="1">
      <alignment horizontal="center" vertical="center"/>
    </xf>
    <xf numFmtId="0" fontId="43" fillId="2" borderId="3" xfId="0" applyFont="1" applyFill="1" applyBorder="1" applyAlignment="1">
      <alignment horizontal="center" vertical="center"/>
    </xf>
    <xf numFmtId="0" fontId="0" fillId="2" borderId="3" xfId="0" applyFill="1" applyBorder="1" applyAlignment="1">
      <alignment horizontal="center" vertical="center" wrapText="1"/>
    </xf>
    <xf numFmtId="0" fontId="43" fillId="2" borderId="17" xfId="0" applyFont="1" applyFill="1" applyBorder="1" applyAlignment="1">
      <alignment horizontal="left" vertical="center" wrapText="1"/>
    </xf>
    <xf numFmtId="0" fontId="43" fillId="2" borderId="3" xfId="0" applyFont="1" applyFill="1" applyBorder="1" applyAlignment="1">
      <alignment horizontal="left" vertical="center" wrapText="1"/>
    </xf>
    <xf numFmtId="0" fontId="43" fillId="2" borderId="20" xfId="0" applyFont="1" applyFill="1" applyBorder="1" applyAlignment="1">
      <alignment horizontal="left" vertical="center" wrapText="1"/>
    </xf>
    <xf numFmtId="0" fontId="43" fillId="2" borderId="20" xfId="0" applyNumberFormat="1" applyFont="1" applyFill="1" applyBorder="1" applyAlignment="1">
      <alignment horizontal="center" vertical="center"/>
    </xf>
    <xf numFmtId="4" fontId="43" fillId="2" borderId="18" xfId="0" applyNumberFormat="1" applyFont="1" applyFill="1" applyBorder="1" applyAlignment="1">
      <alignment horizontal="right" vertical="center" wrapText="1"/>
    </xf>
    <xf numFmtId="4" fontId="43" fillId="2" borderId="21" xfId="0" applyNumberFormat="1" applyFont="1" applyFill="1" applyBorder="1" applyAlignment="1">
      <alignment horizontal="right" vertical="center" wrapText="1"/>
    </xf>
    <xf numFmtId="0" fontId="35" fillId="0" borderId="2" xfId="0" applyFont="1" applyFill="1" applyBorder="1" applyAlignment="1">
      <alignment horizontal="center" vertical="center" wrapText="1"/>
    </xf>
    <xf numFmtId="0" fontId="35" fillId="0" borderId="3" xfId="0" applyFont="1" applyFill="1" applyBorder="1" applyAlignment="1">
      <alignment horizontal="center" vertical="center" wrapText="1"/>
    </xf>
    <xf numFmtId="0" fontId="35" fillId="0" borderId="4" xfId="0" applyFont="1" applyFill="1" applyBorder="1" applyAlignment="1">
      <alignment horizontal="center" vertical="center" wrapText="1"/>
    </xf>
    <xf numFmtId="0" fontId="41" fillId="0" borderId="1" xfId="0" applyFont="1" applyFill="1" applyBorder="1" applyAlignment="1">
      <alignment horizontal="left" vertical="center" wrapText="1"/>
    </xf>
    <xf numFmtId="0" fontId="41" fillId="0" borderId="3" xfId="0" applyFont="1" applyFill="1" applyBorder="1" applyAlignment="1">
      <alignment horizontal="left" vertical="center" wrapText="1"/>
    </xf>
    <xf numFmtId="0" fontId="41" fillId="0" borderId="4" xfId="0" applyFont="1" applyFill="1" applyBorder="1" applyAlignment="1">
      <alignment horizontal="left" vertical="center" wrapText="1"/>
    </xf>
    <xf numFmtId="0" fontId="35" fillId="0" borderId="1" xfId="0" applyFont="1" applyFill="1" applyBorder="1" applyAlignment="1">
      <alignment horizontal="center" vertical="center" wrapText="1"/>
    </xf>
    <xf numFmtId="0" fontId="43" fillId="0" borderId="1" xfId="0" applyFont="1" applyFill="1" applyBorder="1" applyAlignment="1">
      <alignment horizontal="center" vertical="center"/>
    </xf>
    <xf numFmtId="0" fontId="43" fillId="0" borderId="3" xfId="0" applyFont="1" applyFill="1" applyBorder="1" applyAlignment="1">
      <alignment horizontal="center" vertical="center"/>
    </xf>
    <xf numFmtId="0" fontId="43" fillId="0" borderId="4" xfId="0" applyFont="1" applyFill="1" applyBorder="1" applyAlignment="1">
      <alignment horizontal="center" vertical="center"/>
    </xf>
    <xf numFmtId="0" fontId="42" fillId="0" borderId="2" xfId="0" applyFont="1" applyFill="1" applyBorder="1" applyAlignment="1">
      <alignment horizontal="left" vertical="center" wrapText="1"/>
    </xf>
    <xf numFmtId="0" fontId="35" fillId="0" borderId="14" xfId="0" applyFont="1" applyFill="1" applyBorder="1" applyAlignment="1">
      <alignment horizontal="left" vertical="center" wrapText="1"/>
    </xf>
    <xf numFmtId="0" fontId="35" fillId="0" borderId="12" xfId="0" applyFont="1" applyFill="1" applyBorder="1" applyAlignment="1">
      <alignment horizontal="left" vertical="center" wrapText="1"/>
    </xf>
    <xf numFmtId="0" fontId="35" fillId="0" borderId="13" xfId="0" applyFont="1" applyFill="1" applyBorder="1" applyAlignment="1">
      <alignment horizontal="left" vertical="center" wrapText="1"/>
    </xf>
    <xf numFmtId="0" fontId="41" fillId="0" borderId="2" xfId="0" applyFont="1" applyFill="1" applyBorder="1" applyAlignment="1">
      <alignment horizontal="left" vertical="center" wrapText="1"/>
    </xf>
    <xf numFmtId="0" fontId="35" fillId="0" borderId="2" xfId="0" applyNumberFormat="1" applyFont="1" applyFill="1" applyBorder="1" applyAlignment="1">
      <alignment horizontal="center" vertical="center" wrapText="1"/>
    </xf>
    <xf numFmtId="0" fontId="42" fillId="0" borderId="1" xfId="0" applyFont="1" applyFill="1" applyBorder="1" applyAlignment="1">
      <alignment horizontal="left" vertical="center" wrapText="1"/>
    </xf>
    <xf numFmtId="0" fontId="42" fillId="0" borderId="3" xfId="0" applyFont="1" applyFill="1" applyBorder="1" applyAlignment="1">
      <alignment horizontal="left" vertical="center" wrapText="1"/>
    </xf>
    <xf numFmtId="0" fontId="42" fillId="0" borderId="4" xfId="0" applyFont="1" applyFill="1" applyBorder="1" applyAlignment="1">
      <alignment horizontal="left" vertical="center" wrapText="1"/>
    </xf>
    <xf numFmtId="0" fontId="43" fillId="0" borderId="1" xfId="0" applyFont="1" applyFill="1" applyBorder="1" applyAlignment="1">
      <alignment horizontal="left" vertical="center" wrapText="1"/>
    </xf>
    <xf numFmtId="0" fontId="43" fillId="0" borderId="3" xfId="0" applyFont="1" applyFill="1" applyBorder="1" applyAlignment="1">
      <alignment horizontal="left" vertical="center" wrapText="1"/>
    </xf>
    <xf numFmtId="0" fontId="43" fillId="0" borderId="4" xfId="0" applyFont="1" applyFill="1" applyBorder="1" applyAlignment="1">
      <alignment horizontal="left" vertical="center" wrapText="1"/>
    </xf>
    <xf numFmtId="0" fontId="35" fillId="0" borderId="1" xfId="0" applyFont="1" applyFill="1" applyBorder="1" applyAlignment="1">
      <alignment horizontal="center" vertical="top" wrapText="1"/>
    </xf>
    <xf numFmtId="0" fontId="35" fillId="0" borderId="3" xfId="0" applyFont="1" applyFill="1" applyBorder="1" applyAlignment="1">
      <alignment horizontal="center" vertical="top" wrapText="1"/>
    </xf>
    <xf numFmtId="0" fontId="35" fillId="0" borderId="1" xfId="0" applyNumberFormat="1" applyFont="1" applyFill="1" applyBorder="1" applyAlignment="1">
      <alignment horizontal="center" vertical="top" wrapText="1"/>
    </xf>
    <xf numFmtId="0" fontId="35" fillId="0" borderId="3" xfId="0" applyNumberFormat="1" applyFont="1" applyFill="1" applyBorder="1" applyAlignment="1">
      <alignment horizontal="center" vertical="top"/>
    </xf>
    <xf numFmtId="0" fontId="35" fillId="0" borderId="4" xfId="0" applyNumberFormat="1" applyFont="1" applyFill="1" applyBorder="1" applyAlignment="1">
      <alignment horizontal="center" vertical="top"/>
    </xf>
    <xf numFmtId="0" fontId="41" fillId="0" borderId="1" xfId="0" applyFont="1" applyFill="1" applyBorder="1" applyAlignment="1">
      <alignment horizontal="left" vertical="top" wrapText="1"/>
    </xf>
    <xf numFmtId="0" fontId="41" fillId="0" borderId="3" xfId="0" applyFont="1" applyFill="1" applyBorder="1" applyAlignment="1">
      <alignment horizontal="left" vertical="top" wrapText="1"/>
    </xf>
    <xf numFmtId="0" fontId="41" fillId="0" borderId="4" xfId="0" applyFont="1" applyFill="1" applyBorder="1" applyAlignment="1">
      <alignment horizontal="left" vertical="top" wrapText="1"/>
    </xf>
    <xf numFmtId="0" fontId="35" fillId="0" borderId="1" xfId="0" applyNumberFormat="1" applyFont="1" applyFill="1" applyBorder="1" applyAlignment="1">
      <alignment horizontal="center" vertical="center"/>
    </xf>
    <xf numFmtId="0" fontId="35" fillId="0" borderId="3" xfId="0" applyNumberFormat="1" applyFont="1" applyFill="1" applyBorder="1" applyAlignment="1">
      <alignment horizontal="center" vertical="center"/>
    </xf>
    <xf numFmtId="0" fontId="35" fillId="0" borderId="4" xfId="0" applyNumberFormat="1" applyFont="1" applyFill="1" applyBorder="1" applyAlignment="1">
      <alignment horizontal="center" vertical="center"/>
    </xf>
    <xf numFmtId="0" fontId="35" fillId="0" borderId="1" xfId="0" applyFont="1" applyFill="1" applyBorder="1" applyAlignment="1">
      <alignment horizontal="center" vertical="center"/>
    </xf>
    <xf numFmtId="0" fontId="35" fillId="0" borderId="3" xfId="0" applyFont="1" applyFill="1" applyBorder="1" applyAlignment="1">
      <alignment horizontal="center" vertical="center"/>
    </xf>
    <xf numFmtId="0" fontId="35" fillId="0" borderId="4" xfId="0" applyFont="1" applyFill="1" applyBorder="1" applyAlignment="1">
      <alignment horizontal="center" vertical="center"/>
    </xf>
    <xf numFmtId="0" fontId="41" fillId="0" borderId="1" xfId="0" applyFont="1" applyFill="1" applyBorder="1" applyAlignment="1">
      <alignment vertical="center" wrapText="1"/>
    </xf>
    <xf numFmtId="0" fontId="41" fillId="0" borderId="3" xfId="0" applyFont="1" applyFill="1" applyBorder="1" applyAlignment="1">
      <alignment vertical="center" wrapText="1"/>
    </xf>
    <xf numFmtId="0" fontId="41" fillId="0" borderId="4" xfId="0" applyFont="1" applyFill="1" applyBorder="1" applyAlignment="1">
      <alignment vertical="center" wrapText="1"/>
    </xf>
    <xf numFmtId="0" fontId="43" fillId="0" borderId="1" xfId="0" applyNumberFormat="1" applyFont="1" applyFill="1" applyBorder="1" applyAlignment="1">
      <alignment horizontal="center" vertical="center" wrapText="1"/>
    </xf>
    <xf numFmtId="0" fontId="43" fillId="0" borderId="3" xfId="0" applyNumberFormat="1" applyFont="1" applyFill="1" applyBorder="1" applyAlignment="1">
      <alignment horizontal="center" vertical="center"/>
    </xf>
    <xf numFmtId="0" fontId="43" fillId="0" borderId="4" xfId="0" applyNumberFormat="1" applyFont="1" applyFill="1" applyBorder="1" applyAlignment="1">
      <alignment horizontal="center" vertical="center"/>
    </xf>
    <xf numFmtId="0" fontId="42" fillId="0" borderId="1" xfId="0" applyFont="1" applyFill="1" applyBorder="1" applyAlignment="1">
      <alignment vertical="center" wrapText="1"/>
    </xf>
    <xf numFmtId="0" fontId="42" fillId="0" borderId="3" xfId="0" applyFont="1" applyFill="1" applyBorder="1" applyAlignment="1">
      <alignment vertical="center" wrapText="1"/>
    </xf>
    <xf numFmtId="0" fontId="43" fillId="0" borderId="1" xfId="0" applyNumberFormat="1" applyFont="1" applyFill="1" applyBorder="1" applyAlignment="1">
      <alignment horizontal="center" vertical="center"/>
    </xf>
    <xf numFmtId="0" fontId="42" fillId="0" borderId="1" xfId="0" applyFont="1" applyFill="1" applyBorder="1" applyAlignment="1">
      <alignment vertical="top" wrapText="1"/>
    </xf>
    <xf numFmtId="0" fontId="42" fillId="0" borderId="3" xfId="0" applyFont="1" applyFill="1" applyBorder="1" applyAlignment="1">
      <alignment vertical="top" wrapText="1"/>
    </xf>
    <xf numFmtId="0" fontId="42" fillId="0" borderId="4" xfId="0" applyFont="1" applyFill="1" applyBorder="1" applyAlignment="1">
      <alignment vertical="top" wrapText="1"/>
    </xf>
    <xf numFmtId="0" fontId="35" fillId="0" borderId="1" xfId="0" applyFont="1" applyFill="1" applyBorder="1" applyAlignment="1">
      <alignment vertical="center" wrapText="1"/>
    </xf>
    <xf numFmtId="0" fontId="35" fillId="0" borderId="3" xfId="0" applyFont="1" applyFill="1" applyBorder="1" applyAlignment="1">
      <alignment vertical="center" wrapText="1"/>
    </xf>
    <xf numFmtId="0" fontId="35" fillId="0" borderId="4" xfId="0" applyFont="1" applyFill="1" applyBorder="1" applyAlignment="1">
      <alignment vertical="center" wrapText="1"/>
    </xf>
    <xf numFmtId="0" fontId="35" fillId="0" borderId="1" xfId="0" applyFont="1" applyFill="1" applyBorder="1" applyAlignment="1">
      <alignment horizontal="left" vertical="center" wrapText="1"/>
    </xf>
    <xf numFmtId="0" fontId="35" fillId="0" borderId="3" xfId="0" applyFont="1" applyFill="1" applyBorder="1" applyAlignment="1">
      <alignment horizontal="left" vertical="center" wrapText="1"/>
    </xf>
    <xf numFmtId="0" fontId="35" fillId="0" borderId="4" xfId="0" applyFont="1"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42" fillId="0" borderId="1" xfId="0" applyFont="1" applyFill="1" applyBorder="1" applyAlignment="1">
      <alignment horizontal="left" vertical="top" wrapText="1"/>
    </xf>
    <xf numFmtId="0" fontId="42" fillId="0" borderId="3" xfId="0" applyFont="1" applyFill="1" applyBorder="1" applyAlignment="1">
      <alignment horizontal="left" vertical="top" wrapText="1"/>
    </xf>
    <xf numFmtId="0" fontId="42" fillId="0" borderId="4" xfId="0" applyFont="1" applyFill="1" applyBorder="1" applyAlignment="1">
      <alignment horizontal="left" vertical="top" wrapText="1"/>
    </xf>
    <xf numFmtId="0" fontId="35" fillId="0" borderId="8" xfId="0" applyFont="1" applyFill="1" applyBorder="1" applyAlignment="1">
      <alignment horizontal="left" vertical="top" wrapText="1"/>
    </xf>
    <xf numFmtId="0" fontId="35" fillId="0" borderId="14" xfId="0" applyFont="1" applyFill="1" applyBorder="1" applyAlignment="1">
      <alignment horizontal="left" vertical="top" wrapText="1"/>
    </xf>
    <xf numFmtId="0" fontId="35" fillId="0" borderId="11" xfId="0" applyFont="1" applyFill="1" applyBorder="1" applyAlignment="1">
      <alignment horizontal="left" vertical="top" wrapText="1"/>
    </xf>
    <xf numFmtId="0" fontId="35" fillId="0" borderId="12" xfId="0" applyFont="1" applyFill="1" applyBorder="1" applyAlignment="1">
      <alignment horizontal="left" vertical="top" wrapText="1"/>
    </xf>
    <xf numFmtId="0" fontId="41" fillId="0" borderId="8" xfId="0" applyFont="1" applyFill="1" applyBorder="1" applyAlignment="1">
      <alignment horizontal="center" vertical="center" wrapText="1"/>
    </xf>
    <xf numFmtId="0" fontId="41" fillId="0" borderId="5" xfId="0" applyFont="1" applyFill="1" applyBorder="1" applyAlignment="1">
      <alignment horizontal="center" vertical="center" wrapText="1"/>
    </xf>
    <xf numFmtId="0" fontId="26" fillId="0" borderId="0" xfId="0" applyFont="1" applyFill="1" applyAlignment="1">
      <alignment horizontal="center" wrapText="1"/>
    </xf>
    <xf numFmtId="0" fontId="25" fillId="0" borderId="0" xfId="0" applyFont="1" applyFill="1" applyAlignment="1">
      <alignment horizontal="center" vertical="top" wrapText="1"/>
    </xf>
    <xf numFmtId="0" fontId="41" fillId="0" borderId="2" xfId="0" applyFont="1" applyFill="1" applyBorder="1" applyAlignment="1">
      <alignment horizontal="center" vertical="center" wrapText="1"/>
    </xf>
    <xf numFmtId="0" fontId="41" fillId="0" borderId="6" xfId="0" applyFont="1" applyFill="1" applyBorder="1" applyAlignment="1">
      <alignment horizontal="center" vertical="center" wrapText="1"/>
    </xf>
    <xf numFmtId="0" fontId="42" fillId="0" borderId="4" xfId="0" applyFont="1" applyFill="1" applyBorder="1" applyAlignment="1">
      <alignment vertical="center" wrapText="1"/>
    </xf>
    <xf numFmtId="0" fontId="35" fillId="0" borderId="1" xfId="0" applyNumberFormat="1" applyFont="1" applyFill="1" applyBorder="1" applyAlignment="1">
      <alignment horizontal="center" vertical="center" wrapText="1"/>
    </xf>
  </cellXfs>
  <cellStyles count="2">
    <cellStyle name="Обычный" xfId="0" builtinId="0"/>
    <cellStyle name="Обычный 2" xfId="1"/>
  </cellStyles>
  <dxfs count="6">
    <dxf>
      <fill>
        <patternFill>
          <bgColor indexed="31"/>
        </patternFill>
      </fill>
      <border>
        <left style="thin">
          <color indexed="22"/>
        </left>
        <right style="thin">
          <color indexed="22"/>
        </right>
        <top style="thin">
          <color indexed="22"/>
        </top>
        <bottom style="thin">
          <color indexed="22"/>
        </bottom>
      </border>
    </dxf>
    <dxf>
      <fill>
        <patternFill>
          <bgColor indexed="31"/>
        </patternFill>
      </fill>
      <border>
        <left style="thin">
          <color indexed="23"/>
        </left>
        <right style="thin">
          <color indexed="23"/>
        </right>
        <top style="thin">
          <color indexed="23"/>
        </top>
        <bottom style="thin">
          <color indexed="23"/>
        </bottom>
      </border>
    </dxf>
    <dxf>
      <fill>
        <patternFill>
          <bgColor indexed="45"/>
        </patternFill>
      </fill>
      <border>
        <left style="thin">
          <color indexed="29"/>
        </left>
        <right style="thin">
          <color indexed="29"/>
        </right>
        <top style="thin">
          <color indexed="29"/>
        </top>
        <bottom style="thin">
          <color indexed="29"/>
        </bottom>
      </border>
    </dxf>
    <dxf>
      <fill>
        <patternFill>
          <bgColor indexed="31"/>
        </patternFill>
      </fill>
      <border>
        <left style="thin">
          <color indexed="22"/>
        </left>
        <right style="thin">
          <color indexed="22"/>
        </right>
        <top style="thin">
          <color indexed="22"/>
        </top>
        <bottom style="thin">
          <color indexed="22"/>
        </bottom>
      </border>
    </dxf>
    <dxf>
      <fill>
        <patternFill>
          <bgColor indexed="31"/>
        </patternFill>
      </fill>
      <border>
        <left style="thin">
          <color indexed="23"/>
        </left>
        <right style="thin">
          <color indexed="23"/>
        </right>
        <top style="thin">
          <color indexed="23"/>
        </top>
        <bottom style="thin">
          <color indexed="23"/>
        </bottom>
      </border>
    </dxf>
    <dxf>
      <fill>
        <patternFill>
          <bgColor indexed="45"/>
        </patternFill>
      </fill>
      <border>
        <left style="thin">
          <color indexed="29"/>
        </left>
        <right style="thin">
          <color indexed="29"/>
        </right>
        <top style="thin">
          <color indexed="29"/>
        </top>
        <bottom style="thin">
          <color indexed="29"/>
        </bottom>
      </border>
    </dxf>
  </dxfs>
  <tableStyles count="0" defaultTableStyle="TableStyleMedium2" defaultPivotStyle="PivotStyleLight16"/>
  <colors>
    <mruColors>
      <color rgb="FFFFCCCC"/>
      <color rgb="FFE852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571500</xdr:colOff>
      <xdr:row>0</xdr:row>
      <xdr:rowOff>54429</xdr:rowOff>
    </xdr:from>
    <xdr:to>
      <xdr:col>15</xdr:col>
      <xdr:colOff>952498</xdr:colOff>
      <xdr:row>3</xdr:row>
      <xdr:rowOff>13607</xdr:rowOff>
    </xdr:to>
    <xdr:sp macro="" textlink="">
      <xdr:nvSpPr>
        <xdr:cNvPr id="1025" name="TextBox 1"/>
        <xdr:cNvSpPr txBox="1">
          <a:spLocks noChangeArrowheads="1"/>
        </xdr:cNvSpPr>
      </xdr:nvSpPr>
      <xdr:spPr bwMode="auto">
        <a:xfrm>
          <a:off x="11391900" y="54429"/>
          <a:ext cx="5600698" cy="6798128"/>
        </a:xfrm>
        <a:prstGeom prst="rect">
          <a:avLst/>
        </a:prstGeom>
        <a:noFill/>
        <a:ln w="9525">
          <a:noFill/>
          <a:miter lim="800000"/>
          <a:headEnd/>
          <a:tailEnd/>
        </a:ln>
      </xdr:spPr>
      <xdr:txBody>
        <a:bodyPr vertOverflow="clip" wrap="square" lIns="36576" tIns="32004" rIns="36576" bIns="0" anchor="t" upright="1"/>
        <a:lstStyle/>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Приложение №</a:t>
          </a:r>
          <a:r>
            <a:rPr lang="en-US" sz="2600" b="0" i="0" u="none" strike="noStrike" baseline="0">
              <a:solidFill>
                <a:srgbClr val="000000"/>
              </a:solidFill>
              <a:latin typeface="Times New Roman" panose="02020603050405020304" pitchFamily="18" charset="0"/>
              <a:cs typeface="Times New Roman" panose="02020603050405020304" pitchFamily="18" charset="0"/>
            </a:rPr>
            <a:t> </a:t>
          </a:r>
          <a:r>
            <a:rPr lang="ru-RU" sz="2600" b="0" i="0" u="none" strike="noStrike" baseline="0">
              <a:solidFill>
                <a:srgbClr val="000000"/>
              </a:solidFill>
              <a:latin typeface="Times New Roman" panose="02020603050405020304" pitchFamily="18" charset="0"/>
              <a:cs typeface="Times New Roman" panose="02020603050405020304" pitchFamily="18" charset="0"/>
            </a:rPr>
            <a:t>4</a:t>
          </a:r>
          <a:r>
            <a:rPr lang="en-US" sz="2600" b="0" i="0" u="none" strike="noStrike" baseline="0">
              <a:solidFill>
                <a:srgbClr val="000000"/>
              </a:solidFill>
              <a:latin typeface="Times New Roman" panose="02020603050405020304" pitchFamily="18" charset="0"/>
              <a:cs typeface="Times New Roman" panose="02020603050405020304" pitchFamily="18" charset="0"/>
            </a:rPr>
            <a:t> </a:t>
          </a:r>
          <a:endParaRPr lang="ru-RU" sz="2600" b="0" i="0" u="none" strike="noStrike" baseline="0">
            <a:solidFill>
              <a:srgbClr val="000000"/>
            </a:solidFill>
            <a:latin typeface="Times New Roman" panose="02020603050405020304" pitchFamily="18" charset="0"/>
            <a:cs typeface="Times New Roman" panose="02020603050405020304" pitchFamily="18" charset="0"/>
          </a:endParaRP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 </a:t>
          </a: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к постановлению </a:t>
          </a: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Администрации Приморского края</a:t>
          </a:r>
          <a:endParaRPr lang="en-US" sz="2600" b="0" i="0" u="none" strike="noStrike" baseline="0">
            <a:solidFill>
              <a:srgbClr val="000000"/>
            </a:solidFill>
            <a:latin typeface="Times New Roman" panose="02020603050405020304" pitchFamily="18" charset="0"/>
            <a:cs typeface="Times New Roman" panose="02020603050405020304" pitchFamily="18" charset="0"/>
          </a:endParaRPr>
        </a:p>
        <a:p>
          <a:pPr marL="0" indent="0" algn="ctr" rtl="0">
            <a:defRPr sz="1000"/>
          </a:pPr>
          <a:endParaRPr lang="en-US" sz="2600" b="0" i="0" u="none" strike="noStrike" baseline="0">
            <a:solidFill>
              <a:srgbClr val="000000"/>
            </a:solidFill>
            <a:latin typeface="Times New Roman" panose="02020603050405020304" pitchFamily="18" charset="0"/>
            <a:ea typeface="+mn-ea"/>
            <a:cs typeface="Times New Roman" panose="02020603050405020304" pitchFamily="18" charset="0"/>
          </a:endParaRPr>
        </a:p>
        <a:p>
          <a:pPr marL="0" indent="0" algn="ctr" rtl="0">
            <a:defRPr sz="1000"/>
          </a:pPr>
          <a:endParaRPr lang="en-US" sz="2600" b="0" i="0" u="none" strike="noStrike" baseline="0">
            <a:solidFill>
              <a:srgbClr val="000000"/>
            </a:solidFill>
            <a:latin typeface="Times New Roman" panose="02020603050405020304" pitchFamily="18" charset="0"/>
            <a:ea typeface="+mn-ea"/>
            <a:cs typeface="Times New Roman" panose="02020603050405020304" pitchFamily="18" charset="0"/>
          </a:endParaRPr>
        </a:p>
        <a:p>
          <a:pPr algn="ctr" rtl="0">
            <a:defRPr sz="1000"/>
          </a:pPr>
          <a:r>
            <a:rPr lang="ru-RU" sz="2600" b="0" i="0" baseline="0">
              <a:effectLst/>
              <a:latin typeface="Times New Roman" panose="02020603050405020304" pitchFamily="18" charset="0"/>
              <a:ea typeface="+mn-ea"/>
              <a:cs typeface="Times New Roman" panose="02020603050405020304" pitchFamily="18" charset="0"/>
            </a:rPr>
            <a:t>«</a:t>
          </a:r>
          <a:r>
            <a:rPr lang="ru-RU" sz="2600" b="0" i="0" u="none" strike="noStrike" baseline="0">
              <a:solidFill>
                <a:srgbClr val="000000"/>
              </a:solidFill>
              <a:latin typeface="Times New Roman" panose="02020603050405020304" pitchFamily="18" charset="0"/>
              <a:cs typeface="Times New Roman" panose="02020603050405020304" pitchFamily="18" charset="0"/>
            </a:rPr>
            <a:t>Приложение № 5</a:t>
          </a:r>
        </a:p>
        <a:p>
          <a:pPr algn="ctr" rtl="0">
            <a:defRPr sz="1000"/>
          </a:pPr>
          <a:endParaRPr lang="ru-RU" sz="2600" b="0" i="0" u="none" strike="noStrike" baseline="0">
            <a:solidFill>
              <a:srgbClr val="000000"/>
            </a:solidFill>
            <a:latin typeface="Times New Roman" panose="02020603050405020304" pitchFamily="18" charset="0"/>
            <a:cs typeface="Times New Roman" panose="02020603050405020304" pitchFamily="18" charset="0"/>
          </a:endParaRP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к государственной программе  </a:t>
          </a: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Приморского края </a:t>
          </a: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«Информационное общество» </a:t>
          </a: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на 2013 - 20</a:t>
          </a:r>
          <a:r>
            <a:rPr lang="en-US" sz="2600" b="0" i="0" u="none" strike="noStrike" baseline="0">
              <a:solidFill>
                <a:srgbClr val="000000"/>
              </a:solidFill>
              <a:latin typeface="Times New Roman" panose="02020603050405020304" pitchFamily="18" charset="0"/>
              <a:cs typeface="Times New Roman" panose="02020603050405020304" pitchFamily="18" charset="0"/>
            </a:rPr>
            <a:t>20</a:t>
          </a:r>
          <a:r>
            <a:rPr lang="ru-RU" sz="2600" b="0" i="0" u="none" strike="noStrike" baseline="0">
              <a:solidFill>
                <a:srgbClr val="000000"/>
              </a:solidFill>
              <a:latin typeface="Times New Roman" panose="02020603050405020304" pitchFamily="18" charset="0"/>
              <a:cs typeface="Times New Roman" panose="02020603050405020304" pitchFamily="18" charset="0"/>
            </a:rPr>
            <a:t> годы,  </a:t>
          </a: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утвержденной постановлением </a:t>
          </a: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Администрации Приморского края </a:t>
          </a: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от 7</a:t>
          </a:r>
          <a:r>
            <a:rPr lang="en-US" sz="2600" b="0" i="0" u="none" strike="noStrike" baseline="0">
              <a:solidFill>
                <a:srgbClr val="000000"/>
              </a:solidFill>
              <a:latin typeface="Times New Roman" panose="02020603050405020304" pitchFamily="18" charset="0"/>
              <a:cs typeface="Times New Roman" panose="02020603050405020304" pitchFamily="18" charset="0"/>
            </a:rPr>
            <a:t> </a:t>
          </a:r>
          <a:r>
            <a:rPr lang="ru-RU" sz="2600" b="0" i="0" u="none" strike="noStrike" baseline="0">
              <a:solidFill>
                <a:srgbClr val="000000"/>
              </a:solidFill>
              <a:latin typeface="Times New Roman" panose="02020603050405020304" pitchFamily="18" charset="0"/>
              <a:cs typeface="Times New Roman" panose="02020603050405020304" pitchFamily="18" charset="0"/>
            </a:rPr>
            <a:t>декабря 2012 года № 385-па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993322</xdr:colOff>
      <xdr:row>0</xdr:row>
      <xdr:rowOff>0</xdr:rowOff>
    </xdr:from>
    <xdr:to>
      <xdr:col>12</xdr:col>
      <xdr:colOff>805223</xdr:colOff>
      <xdr:row>2</xdr:row>
      <xdr:rowOff>95250</xdr:rowOff>
    </xdr:to>
    <xdr:sp macro="" textlink="">
      <xdr:nvSpPr>
        <xdr:cNvPr id="3" name="TextBox 1"/>
        <xdr:cNvSpPr txBox="1">
          <a:spLocks noChangeArrowheads="1"/>
        </xdr:cNvSpPr>
      </xdr:nvSpPr>
      <xdr:spPr bwMode="auto">
        <a:xfrm>
          <a:off x="10531929" y="0"/>
          <a:ext cx="4737687" cy="5402036"/>
        </a:xfrm>
        <a:prstGeom prst="rect">
          <a:avLst/>
        </a:prstGeom>
        <a:noFill/>
        <a:ln w="9525">
          <a:noFill/>
          <a:miter lim="800000"/>
          <a:headEnd/>
          <a:tailEnd/>
        </a:ln>
      </xdr:spPr>
      <xdr:txBody>
        <a:bodyPr vertOverflow="clip" wrap="square" lIns="36576" tIns="32004" rIns="36576" bIns="0" anchor="t" upright="1"/>
        <a:lstStyle/>
        <a:p>
          <a:pPr algn="ctr" rtl="0">
            <a:defRPr sz="1000"/>
          </a:pPr>
          <a:r>
            <a:rPr lang="ru-RU" sz="2400" b="0" i="0" u="none" strike="noStrike" baseline="0">
              <a:solidFill>
                <a:srgbClr val="000000"/>
              </a:solidFill>
              <a:latin typeface="Times New Roman"/>
              <a:cs typeface="Times New Roman"/>
            </a:rPr>
            <a:t>Приложение №</a:t>
          </a:r>
          <a:r>
            <a:rPr lang="en-US" sz="2400" b="0" i="0" u="none" strike="noStrike" baseline="0">
              <a:solidFill>
                <a:srgbClr val="000000"/>
              </a:solidFill>
              <a:latin typeface="Times New Roman"/>
              <a:cs typeface="Times New Roman"/>
            </a:rPr>
            <a:t> </a:t>
          </a:r>
          <a:r>
            <a:rPr lang="ru-RU" sz="2400" b="0" i="0" u="none" strike="noStrike" baseline="0">
              <a:solidFill>
                <a:srgbClr val="000000"/>
              </a:solidFill>
              <a:latin typeface="Times New Roman"/>
              <a:cs typeface="Times New Roman"/>
            </a:rPr>
            <a:t>5</a:t>
          </a:r>
        </a:p>
        <a:p>
          <a:pPr algn="ctr" rtl="0">
            <a:defRPr sz="1000"/>
          </a:pPr>
          <a:r>
            <a:rPr lang="ru-RU" sz="2400" b="0" i="0" u="none" strike="noStrike" baseline="0">
              <a:solidFill>
                <a:srgbClr val="000000"/>
              </a:solidFill>
              <a:latin typeface="Times New Roman"/>
              <a:cs typeface="Times New Roman"/>
            </a:rPr>
            <a:t> </a:t>
          </a:r>
        </a:p>
        <a:p>
          <a:pPr algn="ctr" rtl="0">
            <a:defRPr sz="1000"/>
          </a:pPr>
          <a:r>
            <a:rPr lang="ru-RU" sz="2400" b="0" i="0" u="none" strike="noStrike" baseline="0">
              <a:solidFill>
                <a:srgbClr val="000000"/>
              </a:solidFill>
              <a:latin typeface="Times New Roman"/>
              <a:cs typeface="Times New Roman"/>
            </a:rPr>
            <a:t>к постановлению </a:t>
          </a:r>
        </a:p>
        <a:p>
          <a:pPr algn="ctr" rtl="0">
            <a:defRPr sz="1000"/>
          </a:pPr>
          <a:r>
            <a:rPr lang="ru-RU" sz="2400" b="0" i="0" u="none" strike="noStrike" baseline="0">
              <a:solidFill>
                <a:srgbClr val="000000"/>
              </a:solidFill>
              <a:latin typeface="Times New Roman"/>
              <a:cs typeface="Times New Roman"/>
            </a:rPr>
            <a:t>Администрации Приморского края </a:t>
          </a:r>
        </a:p>
        <a:p>
          <a:pPr marL="0" indent="0" algn="ctr" rtl="0">
            <a:defRPr sz="1000"/>
          </a:pPr>
          <a:r>
            <a:rPr lang="ru-RU" sz="2400" b="0" i="0" u="none" strike="noStrike" baseline="0">
              <a:solidFill>
                <a:srgbClr val="000000"/>
              </a:solidFill>
              <a:latin typeface="Times New Roman"/>
              <a:ea typeface="+mn-ea"/>
              <a:cs typeface="Times New Roman"/>
            </a:rPr>
            <a:t> </a:t>
          </a:r>
        </a:p>
        <a:p>
          <a:pPr algn="ctr" rtl="0">
            <a:defRPr sz="1000"/>
          </a:pPr>
          <a:endParaRPr lang="en-US" sz="2400" b="0" i="0" u="none" strike="noStrike" baseline="0">
            <a:solidFill>
              <a:srgbClr val="000000"/>
            </a:solidFill>
            <a:latin typeface="Times New Roman"/>
            <a:cs typeface="Times New Roman"/>
          </a:endParaRPr>
        </a:p>
        <a:p>
          <a:pPr algn="ctr" rtl="0">
            <a:defRPr sz="1000"/>
          </a:pPr>
          <a:r>
            <a:rPr lang="ru-RU" sz="2400" b="0" i="0" baseline="0">
              <a:effectLst/>
              <a:latin typeface="+mn-lt"/>
              <a:ea typeface="+mn-ea"/>
              <a:cs typeface="+mn-cs"/>
            </a:rPr>
            <a:t>«</a:t>
          </a:r>
          <a:r>
            <a:rPr lang="ru-RU" sz="2400" b="0" i="0" u="none" strike="noStrike" baseline="0">
              <a:solidFill>
                <a:srgbClr val="000000"/>
              </a:solidFill>
              <a:latin typeface="Times New Roman"/>
              <a:cs typeface="Times New Roman"/>
            </a:rPr>
            <a:t>Приложение № 6</a:t>
          </a:r>
        </a:p>
        <a:p>
          <a:pPr algn="ctr" rtl="0">
            <a:defRPr sz="1000"/>
          </a:pPr>
          <a:endParaRPr lang="ru-RU" sz="2400" b="0" i="0" u="none" strike="noStrike" baseline="0">
            <a:solidFill>
              <a:srgbClr val="000000"/>
            </a:solidFill>
            <a:latin typeface="Times New Roman"/>
            <a:cs typeface="Times New Roman"/>
          </a:endParaRPr>
        </a:p>
        <a:p>
          <a:pPr algn="ctr" rtl="0">
            <a:defRPr sz="1000"/>
          </a:pPr>
          <a:r>
            <a:rPr lang="ru-RU" sz="2400" b="0" i="0" u="none" strike="noStrike" baseline="0">
              <a:solidFill>
                <a:srgbClr val="000000"/>
              </a:solidFill>
              <a:latin typeface="Times New Roman"/>
              <a:cs typeface="Times New Roman"/>
            </a:rPr>
            <a:t>к государственной программе  </a:t>
          </a:r>
        </a:p>
        <a:p>
          <a:pPr algn="ctr" rtl="0">
            <a:defRPr sz="1000"/>
          </a:pPr>
          <a:r>
            <a:rPr lang="ru-RU" sz="2400" b="0" i="0" u="none" strike="noStrike" baseline="0">
              <a:solidFill>
                <a:srgbClr val="000000"/>
              </a:solidFill>
              <a:latin typeface="Times New Roman"/>
              <a:cs typeface="Times New Roman"/>
            </a:rPr>
            <a:t>Приморского края </a:t>
          </a:r>
        </a:p>
        <a:p>
          <a:pPr algn="ctr" rtl="0">
            <a:defRPr sz="1000"/>
          </a:pPr>
          <a:r>
            <a:rPr lang="ru-RU" sz="2400" b="0" i="0" u="none" strike="noStrike" baseline="0">
              <a:solidFill>
                <a:srgbClr val="000000"/>
              </a:solidFill>
              <a:latin typeface="Times New Roman"/>
              <a:cs typeface="Times New Roman"/>
            </a:rPr>
            <a:t>«Информационное общество» </a:t>
          </a:r>
        </a:p>
        <a:p>
          <a:pPr algn="ctr" rtl="0">
            <a:defRPr sz="1000"/>
          </a:pPr>
          <a:r>
            <a:rPr lang="ru-RU" sz="2400" b="0" i="0" u="none" strike="noStrike" baseline="0">
              <a:solidFill>
                <a:srgbClr val="000000"/>
              </a:solidFill>
              <a:latin typeface="Times New Roman"/>
              <a:cs typeface="Times New Roman"/>
            </a:rPr>
            <a:t>на 2013 - 20</a:t>
          </a:r>
          <a:r>
            <a:rPr lang="en-US" sz="2400" b="0" i="0" u="none" strike="noStrike" baseline="0">
              <a:solidFill>
                <a:srgbClr val="000000"/>
              </a:solidFill>
              <a:latin typeface="Times New Roman"/>
              <a:cs typeface="Times New Roman"/>
            </a:rPr>
            <a:t>20</a:t>
          </a:r>
          <a:r>
            <a:rPr lang="ru-RU" sz="2400" b="0" i="0" u="none" strike="noStrike" baseline="0">
              <a:solidFill>
                <a:srgbClr val="000000"/>
              </a:solidFill>
              <a:latin typeface="Times New Roman"/>
              <a:cs typeface="Times New Roman"/>
            </a:rPr>
            <a:t> годы,  </a:t>
          </a:r>
        </a:p>
        <a:p>
          <a:pPr algn="ctr" rtl="0">
            <a:defRPr sz="1000"/>
          </a:pPr>
          <a:r>
            <a:rPr lang="ru-RU" sz="2400" b="0" i="0" u="none" strike="noStrike" baseline="0">
              <a:solidFill>
                <a:srgbClr val="000000"/>
              </a:solidFill>
              <a:latin typeface="Times New Roman"/>
              <a:cs typeface="Times New Roman"/>
            </a:rPr>
            <a:t>утвержденной постановлением </a:t>
          </a:r>
        </a:p>
        <a:p>
          <a:pPr algn="ctr" rtl="0">
            <a:defRPr sz="1000"/>
          </a:pPr>
          <a:r>
            <a:rPr lang="ru-RU" sz="2400" b="0" i="0" u="none" strike="noStrike" baseline="0">
              <a:solidFill>
                <a:srgbClr val="000000"/>
              </a:solidFill>
              <a:latin typeface="Times New Roman"/>
              <a:cs typeface="Times New Roman"/>
            </a:rPr>
            <a:t>Администрации Приморского края </a:t>
          </a:r>
        </a:p>
        <a:p>
          <a:pPr algn="ctr" rtl="0">
            <a:defRPr sz="1000"/>
          </a:pPr>
          <a:r>
            <a:rPr lang="ru-RU" sz="2400" b="0" i="0" u="none" strike="noStrike" baseline="0">
              <a:solidFill>
                <a:srgbClr val="000000"/>
              </a:solidFill>
              <a:latin typeface="Times New Roman"/>
              <a:cs typeface="Times New Roman"/>
            </a:rPr>
            <a:t>от 7 декабря 2012 года № 385-па</a:t>
          </a: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89"/>
  <sheetViews>
    <sheetView tabSelected="1" view="pageBreakPreview" topLeftCell="A121" zoomScale="75" zoomScaleNormal="70" zoomScaleSheetLayoutView="75" zoomScalePageLayoutView="82" workbookViewId="0">
      <selection activeCell="B124" sqref="B124:B128"/>
    </sheetView>
  </sheetViews>
  <sheetFormatPr defaultRowHeight="15" x14ac:dyDescent="0.25"/>
  <cols>
    <col min="1" max="1" width="7.6640625" style="198" customWidth="1"/>
    <col min="2" max="2" width="35.44140625" style="134" customWidth="1"/>
    <col min="3" max="3" width="21.6640625" style="134" customWidth="1"/>
    <col min="4" max="4" width="5.21875" style="134" customWidth="1"/>
    <col min="5" max="5" width="5.33203125" style="134" customWidth="1"/>
    <col min="6" max="6" width="12.77734375" style="134" customWidth="1"/>
    <col min="7" max="7" width="4.44140625" style="199" customWidth="1"/>
    <col min="8" max="8" width="12.21875" style="134" customWidth="1"/>
    <col min="9" max="9" width="12.77734375" style="134" customWidth="1"/>
    <col min="10" max="10" width="11.77734375" style="134" customWidth="1"/>
    <col min="11" max="11" width="13.6640625" style="134" customWidth="1"/>
    <col min="12" max="15" width="11.77734375" style="134" customWidth="1"/>
    <col min="16" max="16" width="13.5546875" style="200" customWidth="1"/>
    <col min="17" max="17" width="17.88671875" style="200" customWidth="1"/>
    <col min="18" max="18" width="10.21875" style="200" bestFit="1" customWidth="1"/>
    <col min="19" max="19" width="9.77734375" style="200" customWidth="1"/>
    <col min="20" max="22" width="8.88671875" style="200"/>
    <col min="23" max="26" width="8.88671875" style="134"/>
    <col min="27" max="27" width="8.21875" style="134" customWidth="1"/>
    <col min="28" max="16384" width="8.88671875" style="134"/>
  </cols>
  <sheetData>
    <row r="1" spans="1:22" ht="26.25" customHeight="1" x14ac:dyDescent="0.3">
      <c r="J1" s="133"/>
      <c r="K1" s="133"/>
      <c r="L1" s="133"/>
      <c r="M1" s="133"/>
      <c r="N1" s="133"/>
      <c r="O1" s="133"/>
    </row>
    <row r="2" spans="1:22" ht="409.5" customHeight="1" x14ac:dyDescent="0.25"/>
    <row r="3" spans="1:22" ht="102" customHeight="1" x14ac:dyDescent="0.25"/>
    <row r="4" spans="1:22" s="203" customFormat="1" ht="40.5" customHeight="1" x14ac:dyDescent="0.3">
      <c r="A4" s="507" t="s">
        <v>137</v>
      </c>
      <c r="B4" s="507"/>
      <c r="C4" s="507"/>
      <c r="D4" s="507"/>
      <c r="E4" s="507"/>
      <c r="F4" s="507"/>
      <c r="G4" s="507"/>
      <c r="H4" s="507"/>
      <c r="I4" s="507"/>
      <c r="J4" s="507"/>
      <c r="K4" s="507"/>
      <c r="L4" s="507"/>
      <c r="M4" s="507"/>
      <c r="N4" s="507"/>
      <c r="O4" s="507"/>
      <c r="P4" s="507"/>
      <c r="Q4" s="201"/>
      <c r="R4" s="202"/>
      <c r="S4" s="202"/>
      <c r="T4" s="202"/>
      <c r="U4" s="202"/>
      <c r="V4" s="202"/>
    </row>
    <row r="5" spans="1:22" s="203" customFormat="1" ht="119.25" customHeight="1" x14ac:dyDescent="0.3">
      <c r="A5" s="508" t="s">
        <v>317</v>
      </c>
      <c r="B5" s="508"/>
      <c r="C5" s="508"/>
      <c r="D5" s="508"/>
      <c r="E5" s="508"/>
      <c r="F5" s="508"/>
      <c r="G5" s="508"/>
      <c r="H5" s="508"/>
      <c r="I5" s="508"/>
      <c r="J5" s="508"/>
      <c r="K5" s="508"/>
      <c r="L5" s="508"/>
      <c r="M5" s="508"/>
      <c r="N5" s="508"/>
      <c r="O5" s="508"/>
      <c r="P5" s="508"/>
      <c r="Q5" s="201"/>
      <c r="R5" s="202"/>
      <c r="S5" s="202"/>
      <c r="T5" s="202"/>
      <c r="U5" s="202"/>
      <c r="V5" s="202"/>
    </row>
    <row r="6" spans="1:22" s="203" customFormat="1" ht="12.75" customHeight="1" x14ac:dyDescent="0.3">
      <c r="A6" s="204"/>
      <c r="B6" s="205"/>
      <c r="C6" s="205"/>
      <c r="D6" s="135"/>
      <c r="E6" s="135"/>
      <c r="F6" s="135"/>
      <c r="G6" s="206"/>
      <c r="H6" s="135"/>
      <c r="I6" s="135"/>
      <c r="J6" s="135"/>
      <c r="K6" s="135"/>
      <c r="L6" s="135"/>
      <c r="M6" s="135"/>
      <c r="N6" s="135"/>
      <c r="O6" s="135"/>
      <c r="P6" s="201"/>
      <c r="Q6" s="201"/>
      <c r="R6" s="202"/>
      <c r="S6" s="202"/>
      <c r="T6" s="202"/>
      <c r="U6" s="202"/>
      <c r="V6" s="202"/>
    </row>
    <row r="7" spans="1:22" s="209" customFormat="1" ht="15.75" customHeight="1" x14ac:dyDescent="0.25">
      <c r="A7" s="190" t="s">
        <v>4</v>
      </c>
      <c r="B7" s="500" t="s">
        <v>312</v>
      </c>
      <c r="C7" s="190" t="s">
        <v>6</v>
      </c>
      <c r="D7" s="511" t="s">
        <v>9</v>
      </c>
      <c r="E7" s="516"/>
      <c r="F7" s="516"/>
      <c r="G7" s="517"/>
      <c r="H7" s="510" t="s">
        <v>10</v>
      </c>
      <c r="I7" s="510"/>
      <c r="J7" s="510"/>
      <c r="K7" s="510"/>
      <c r="L7" s="510"/>
      <c r="M7" s="510"/>
      <c r="N7" s="510"/>
      <c r="O7" s="510"/>
      <c r="P7" s="510"/>
      <c r="Q7" s="207"/>
      <c r="R7" s="208"/>
      <c r="S7" s="208"/>
      <c r="T7" s="208"/>
      <c r="U7" s="208"/>
      <c r="V7" s="208"/>
    </row>
    <row r="8" spans="1:22" s="209" customFormat="1" ht="23.25" customHeight="1" x14ac:dyDescent="0.25">
      <c r="A8" s="210" t="s">
        <v>5</v>
      </c>
      <c r="B8" s="435"/>
      <c r="C8" s="210" t="s">
        <v>7</v>
      </c>
      <c r="D8" s="518"/>
      <c r="E8" s="519"/>
      <c r="F8" s="519"/>
      <c r="G8" s="520"/>
      <c r="H8" s="510"/>
      <c r="I8" s="510"/>
      <c r="J8" s="510"/>
      <c r="K8" s="510"/>
      <c r="L8" s="510"/>
      <c r="M8" s="510"/>
      <c r="N8" s="510"/>
      <c r="O8" s="510"/>
      <c r="P8" s="510"/>
      <c r="Q8" s="207"/>
      <c r="R8" s="208"/>
      <c r="S8" s="208"/>
      <c r="T8" s="208"/>
      <c r="U8" s="208"/>
      <c r="V8" s="208"/>
    </row>
    <row r="9" spans="1:22" s="209" customFormat="1" ht="33.75" customHeight="1" x14ac:dyDescent="0.25">
      <c r="A9" s="211"/>
      <c r="B9" s="435"/>
      <c r="C9" s="210" t="s">
        <v>8</v>
      </c>
      <c r="D9" s="509" t="s">
        <v>11</v>
      </c>
      <c r="E9" s="212" t="s">
        <v>12</v>
      </c>
      <c r="F9" s="509" t="s">
        <v>14</v>
      </c>
      <c r="G9" s="515" t="s">
        <v>15</v>
      </c>
      <c r="H9" s="510">
        <v>2013</v>
      </c>
      <c r="I9" s="510">
        <v>2014</v>
      </c>
      <c r="J9" s="510">
        <v>2015</v>
      </c>
      <c r="K9" s="510">
        <v>2016</v>
      </c>
      <c r="L9" s="500">
        <v>2017</v>
      </c>
      <c r="M9" s="500">
        <v>2018</v>
      </c>
      <c r="N9" s="500">
        <v>2019</v>
      </c>
      <c r="O9" s="500">
        <v>2020</v>
      </c>
      <c r="P9" s="500" t="s">
        <v>315</v>
      </c>
      <c r="Q9" s="207"/>
      <c r="R9" s="208"/>
      <c r="S9" s="208"/>
      <c r="T9" s="208"/>
      <c r="U9" s="208"/>
      <c r="V9" s="208"/>
    </row>
    <row r="10" spans="1:22" s="209" customFormat="1" ht="40.5" customHeight="1" x14ac:dyDescent="0.25">
      <c r="A10" s="213"/>
      <c r="B10" s="504"/>
      <c r="C10" s="214"/>
      <c r="D10" s="509"/>
      <c r="E10" s="212" t="s">
        <v>13</v>
      </c>
      <c r="F10" s="509"/>
      <c r="G10" s="515"/>
      <c r="H10" s="510"/>
      <c r="I10" s="510"/>
      <c r="J10" s="510"/>
      <c r="K10" s="510"/>
      <c r="L10" s="504"/>
      <c r="M10" s="513"/>
      <c r="N10" s="513"/>
      <c r="O10" s="513"/>
      <c r="P10" s="504"/>
      <c r="Q10" s="207"/>
      <c r="R10" s="208"/>
      <c r="S10" s="208"/>
      <c r="T10" s="208"/>
      <c r="U10" s="208"/>
      <c r="V10" s="208"/>
    </row>
    <row r="11" spans="1:22" s="209" customFormat="1" ht="17.25" thickBot="1" x14ac:dyDescent="0.3">
      <c r="A11" s="136">
        <v>1</v>
      </c>
      <c r="B11" s="136">
        <v>2</v>
      </c>
      <c r="C11" s="136">
        <v>3</v>
      </c>
      <c r="D11" s="136">
        <v>4</v>
      </c>
      <c r="E11" s="190">
        <v>5</v>
      </c>
      <c r="F11" s="190">
        <v>6</v>
      </c>
      <c r="G11" s="215">
        <v>7</v>
      </c>
      <c r="H11" s="136">
        <v>8</v>
      </c>
      <c r="I11" s="136">
        <v>9</v>
      </c>
      <c r="J11" s="136">
        <v>10</v>
      </c>
      <c r="K11" s="136">
        <v>11</v>
      </c>
      <c r="L11" s="136">
        <v>12</v>
      </c>
      <c r="M11" s="136">
        <v>13</v>
      </c>
      <c r="N11" s="136">
        <v>14</v>
      </c>
      <c r="O11" s="136">
        <v>15</v>
      </c>
      <c r="P11" s="136">
        <v>16</v>
      </c>
      <c r="Q11" s="216"/>
      <c r="R11" s="216"/>
      <c r="S11" s="216"/>
      <c r="T11" s="216"/>
      <c r="U11" s="208"/>
      <c r="V11" s="208"/>
    </row>
    <row r="12" spans="1:22" s="218" customFormat="1" ht="50.1" customHeight="1" thickBot="1" x14ac:dyDescent="0.3">
      <c r="A12" s="511"/>
      <c r="B12" s="514" t="s">
        <v>355</v>
      </c>
      <c r="C12" s="217" t="s">
        <v>27</v>
      </c>
      <c r="D12" s="215" t="s">
        <v>291</v>
      </c>
      <c r="E12" s="177" t="s">
        <v>291</v>
      </c>
      <c r="F12" s="177" t="s">
        <v>291</v>
      </c>
      <c r="G12" s="177" t="s">
        <v>291</v>
      </c>
      <c r="H12" s="119">
        <f>SUM(H13:H21)</f>
        <v>911665.01</v>
      </c>
      <c r="I12" s="119">
        <f t="shared" ref="I12:O12" si="0">SUM(I13:I21)</f>
        <v>766787.03</v>
      </c>
      <c r="J12" s="119">
        <f t="shared" si="0"/>
        <v>882516.69</v>
      </c>
      <c r="K12" s="119">
        <f>SUM(K13:K21)</f>
        <v>912361.6</v>
      </c>
      <c r="L12" s="119">
        <f>SUM(L13:L21)</f>
        <v>1095997.1599999999</v>
      </c>
      <c r="M12" s="119">
        <f t="shared" si="0"/>
        <v>684213.85</v>
      </c>
      <c r="N12" s="119">
        <f t="shared" si="0"/>
        <v>689633.85</v>
      </c>
      <c r="O12" s="119">
        <f t="shared" si="0"/>
        <v>689633.85</v>
      </c>
      <c r="P12" s="119">
        <f>SUM(H12:O12)</f>
        <v>6632809.04</v>
      </c>
      <c r="Q12" s="207"/>
      <c r="R12" s="207"/>
      <c r="S12" s="207"/>
      <c r="T12" s="208"/>
      <c r="U12" s="208"/>
      <c r="V12" s="208"/>
    </row>
    <row r="13" spans="1:22" s="218" customFormat="1" ht="85.5" customHeight="1" thickBot="1" x14ac:dyDescent="0.3">
      <c r="A13" s="512"/>
      <c r="B13" s="514"/>
      <c r="C13" s="175" t="s">
        <v>22</v>
      </c>
      <c r="D13" s="176" t="s">
        <v>35</v>
      </c>
      <c r="E13" s="177" t="s">
        <v>291</v>
      </c>
      <c r="F13" s="177" t="s">
        <v>291</v>
      </c>
      <c r="G13" s="177" t="s">
        <v>291</v>
      </c>
      <c r="H13" s="120">
        <f>H23+H67+H101+H143+H166</f>
        <v>395824.01</v>
      </c>
      <c r="I13" s="120">
        <f>I23+I67+I101+I143+I166</f>
        <v>266889.8</v>
      </c>
      <c r="J13" s="120">
        <f>J23+J67+J101+J143+J166</f>
        <v>541536.47</v>
      </c>
      <c r="K13" s="120">
        <f>ROUND(K24+K68+K101+K144+K166,2)</f>
        <v>547983.12</v>
      </c>
      <c r="L13" s="120">
        <f>L24+L68+L101+L144+L166</f>
        <v>721260.23</v>
      </c>
      <c r="M13" s="120">
        <f>M24+M68+M101+M144+M166</f>
        <v>322335.53000000003</v>
      </c>
      <c r="N13" s="120">
        <f>N24+N68+N101+N144+N166</f>
        <v>322335.53000000003</v>
      </c>
      <c r="O13" s="120">
        <f>O24+O68+O101+O144+O166</f>
        <v>322335.53000000003</v>
      </c>
      <c r="P13" s="120">
        <f>SUM(H13:L13)</f>
        <v>2473493.63</v>
      </c>
      <c r="Q13" s="219"/>
      <c r="R13" s="219"/>
      <c r="S13" s="219"/>
      <c r="T13" s="208"/>
      <c r="U13" s="208"/>
      <c r="V13" s="208"/>
    </row>
    <row r="14" spans="1:22" s="218" customFormat="1" ht="78" customHeight="1" thickBot="1" x14ac:dyDescent="0.3">
      <c r="A14" s="512"/>
      <c r="B14" s="514"/>
      <c r="C14" s="175" t="s">
        <v>153</v>
      </c>
      <c r="D14" s="176" t="s">
        <v>255</v>
      </c>
      <c r="E14" s="177" t="s">
        <v>291</v>
      </c>
      <c r="F14" s="177" t="s">
        <v>291</v>
      </c>
      <c r="G14" s="177" t="s">
        <v>291</v>
      </c>
      <c r="H14" s="120"/>
      <c r="I14" s="120"/>
      <c r="J14" s="120"/>
      <c r="K14" s="120">
        <f>K167</f>
        <v>0</v>
      </c>
      <c r="L14" s="120">
        <f t="shared" ref="L14:O14" si="1">L167</f>
        <v>0</v>
      </c>
      <c r="M14" s="120">
        <f t="shared" si="1"/>
        <v>0</v>
      </c>
      <c r="N14" s="120">
        <f t="shared" si="1"/>
        <v>0</v>
      </c>
      <c r="O14" s="120">
        <f t="shared" si="1"/>
        <v>0</v>
      </c>
      <c r="P14" s="120">
        <f>SUM(K14:O14)</f>
        <v>0</v>
      </c>
      <c r="Q14" s="207"/>
      <c r="R14" s="208"/>
      <c r="S14" s="208"/>
      <c r="T14" s="208"/>
      <c r="U14" s="208"/>
      <c r="V14" s="208"/>
    </row>
    <row r="15" spans="1:22" s="218" customFormat="1" ht="57.75" customHeight="1" thickBot="1" x14ac:dyDescent="0.3">
      <c r="A15" s="512"/>
      <c r="B15" s="514"/>
      <c r="C15" s="220" t="s">
        <v>21</v>
      </c>
      <c r="D15" s="221" t="s">
        <v>31</v>
      </c>
      <c r="E15" s="177" t="s">
        <v>291</v>
      </c>
      <c r="F15" s="177" t="s">
        <v>291</v>
      </c>
      <c r="G15" s="177" t="s">
        <v>291</v>
      </c>
      <c r="H15" s="137">
        <f>H102</f>
        <v>52800</v>
      </c>
      <c r="I15" s="137">
        <f>I102</f>
        <v>28856</v>
      </c>
      <c r="J15" s="137">
        <f>J102</f>
        <v>23056</v>
      </c>
      <c r="K15" s="137">
        <f t="shared" ref="K15:O15" si="2">K103</f>
        <v>103.73</v>
      </c>
      <c r="L15" s="137">
        <f t="shared" si="2"/>
        <v>0</v>
      </c>
      <c r="M15" s="137">
        <f t="shared" si="2"/>
        <v>0</v>
      </c>
      <c r="N15" s="137">
        <f t="shared" si="2"/>
        <v>0</v>
      </c>
      <c r="O15" s="137">
        <f t="shared" si="2"/>
        <v>0</v>
      </c>
      <c r="P15" s="137">
        <f>SUM(H15:O15)</f>
        <v>104815.73</v>
      </c>
      <c r="Q15" s="207"/>
      <c r="R15" s="208"/>
      <c r="S15" s="208"/>
      <c r="T15" s="208"/>
      <c r="U15" s="208"/>
      <c r="V15" s="208"/>
    </row>
    <row r="16" spans="1:22" s="218" customFormat="1" ht="69" customHeight="1" thickBot="1" x14ac:dyDescent="0.3">
      <c r="A16" s="512"/>
      <c r="B16" s="514"/>
      <c r="C16" s="175" t="s">
        <v>63</v>
      </c>
      <c r="D16" s="176" t="s">
        <v>36</v>
      </c>
      <c r="E16" s="177" t="s">
        <v>291</v>
      </c>
      <c r="F16" s="177" t="s">
        <v>291</v>
      </c>
      <c r="G16" s="177" t="s">
        <v>291</v>
      </c>
      <c r="H16" s="138">
        <f t="shared" ref="H16:O16" si="3">H70+H104</f>
        <v>9950</v>
      </c>
      <c r="I16" s="138">
        <f t="shared" si="3"/>
        <v>7988</v>
      </c>
      <c r="J16" s="138">
        <f t="shared" si="3"/>
        <v>8789.5</v>
      </c>
      <c r="K16" s="138">
        <f t="shared" si="3"/>
        <v>8326</v>
      </c>
      <c r="L16" s="138">
        <f t="shared" si="3"/>
        <v>27579.61</v>
      </c>
      <c r="M16" s="138">
        <f t="shared" si="3"/>
        <v>19521</v>
      </c>
      <c r="N16" s="138">
        <f t="shared" si="3"/>
        <v>24941</v>
      </c>
      <c r="O16" s="138">
        <f t="shared" si="3"/>
        <v>24941</v>
      </c>
      <c r="P16" s="138">
        <f>SUM(H16:L16)</f>
        <v>62633.11</v>
      </c>
      <c r="Q16" s="207"/>
      <c r="R16" s="208"/>
      <c r="S16" s="208"/>
      <c r="T16" s="208"/>
      <c r="U16" s="208"/>
      <c r="V16" s="208"/>
    </row>
    <row r="17" spans="1:22" s="218" customFormat="1" ht="60" customHeight="1" thickBot="1" x14ac:dyDescent="0.3">
      <c r="A17" s="512"/>
      <c r="B17" s="514"/>
      <c r="C17" s="220" t="s">
        <v>150</v>
      </c>
      <c r="D17" s="221" t="s">
        <v>254</v>
      </c>
      <c r="E17" s="177" t="s">
        <v>291</v>
      </c>
      <c r="F17" s="177" t="s">
        <v>291</v>
      </c>
      <c r="G17" s="177" t="s">
        <v>291</v>
      </c>
      <c r="H17" s="197"/>
      <c r="I17" s="197"/>
      <c r="J17" s="197"/>
      <c r="K17" s="197">
        <f>K168</f>
        <v>0</v>
      </c>
      <c r="L17" s="197">
        <f t="shared" ref="L17:O17" si="4">L168</f>
        <v>0</v>
      </c>
      <c r="M17" s="197">
        <f t="shared" si="4"/>
        <v>0</v>
      </c>
      <c r="N17" s="197">
        <f t="shared" si="4"/>
        <v>0</v>
      </c>
      <c r="O17" s="197">
        <f t="shared" si="4"/>
        <v>0</v>
      </c>
      <c r="P17" s="197">
        <f>SUM(K17:O17)</f>
        <v>0</v>
      </c>
      <c r="Q17" s="207"/>
      <c r="R17" s="208"/>
      <c r="S17" s="208"/>
      <c r="T17" s="208"/>
      <c r="U17" s="208"/>
      <c r="V17" s="208"/>
    </row>
    <row r="18" spans="1:22" s="218" customFormat="1" ht="75.75" customHeight="1" thickBot="1" x14ac:dyDescent="0.3">
      <c r="A18" s="512"/>
      <c r="B18" s="514"/>
      <c r="C18" s="175" t="s">
        <v>20</v>
      </c>
      <c r="D18" s="176" t="s">
        <v>29</v>
      </c>
      <c r="E18" s="177" t="s">
        <v>291</v>
      </c>
      <c r="F18" s="177" t="s">
        <v>291</v>
      </c>
      <c r="G18" s="177" t="s">
        <v>291</v>
      </c>
      <c r="H18" s="120">
        <f>H195</f>
        <v>421111</v>
      </c>
      <c r="I18" s="120">
        <f t="shared" ref="I18:O18" si="5">I195</f>
        <v>453719.43</v>
      </c>
      <c r="J18" s="120">
        <f t="shared" si="5"/>
        <v>303569.08</v>
      </c>
      <c r="K18" s="120">
        <f>K195</f>
        <v>310948.75</v>
      </c>
      <c r="L18" s="120">
        <f t="shared" si="5"/>
        <v>342357.32</v>
      </c>
      <c r="M18" s="120">
        <f t="shared" si="5"/>
        <v>342357.32</v>
      </c>
      <c r="N18" s="120">
        <f t="shared" si="5"/>
        <v>342357.32</v>
      </c>
      <c r="O18" s="120">
        <f t="shared" si="5"/>
        <v>342357.32</v>
      </c>
      <c r="P18" s="120">
        <f t="shared" ref="P18:P25" si="6">SUM(H18:O18)</f>
        <v>2858777.54</v>
      </c>
      <c r="Q18" s="207"/>
      <c r="R18" s="208"/>
      <c r="S18" s="208"/>
      <c r="T18" s="208"/>
      <c r="U18" s="208"/>
      <c r="V18" s="208"/>
    </row>
    <row r="19" spans="1:22" s="218" customFormat="1" ht="75.75" customHeight="1" thickBot="1" x14ac:dyDescent="0.3">
      <c r="A19" s="512"/>
      <c r="B19" s="514"/>
      <c r="C19" s="175" t="s">
        <v>342</v>
      </c>
      <c r="D19" s="176">
        <v>775</v>
      </c>
      <c r="E19" s="177" t="s">
        <v>291</v>
      </c>
      <c r="F19" s="177" t="s">
        <v>291</v>
      </c>
      <c r="G19" s="177" t="s">
        <v>291</v>
      </c>
      <c r="H19" s="120"/>
      <c r="I19" s="120"/>
      <c r="J19" s="120"/>
      <c r="K19" s="197">
        <f>K169</f>
        <v>45000</v>
      </c>
      <c r="L19" s="197">
        <f t="shared" ref="L19:O19" si="7">L169</f>
        <v>4800</v>
      </c>
      <c r="M19" s="197">
        <f t="shared" si="7"/>
        <v>0</v>
      </c>
      <c r="N19" s="197">
        <f t="shared" si="7"/>
        <v>0</v>
      </c>
      <c r="O19" s="197">
        <f t="shared" si="7"/>
        <v>0</v>
      </c>
      <c r="P19" s="120">
        <f>SUM(K19:O19)</f>
        <v>49800</v>
      </c>
      <c r="Q19" s="207"/>
      <c r="R19" s="208"/>
      <c r="S19" s="208"/>
      <c r="T19" s="208"/>
      <c r="U19" s="208"/>
      <c r="V19" s="208"/>
    </row>
    <row r="20" spans="1:22" s="218" customFormat="1" ht="95.25" customHeight="1" thickBot="1" x14ac:dyDescent="0.3">
      <c r="A20" s="512"/>
      <c r="B20" s="514"/>
      <c r="C20" s="175" t="s">
        <v>66</v>
      </c>
      <c r="D20" s="176" t="s">
        <v>33</v>
      </c>
      <c r="E20" s="177" t="s">
        <v>291</v>
      </c>
      <c r="F20" s="177" t="s">
        <v>291</v>
      </c>
      <c r="G20" s="177" t="s">
        <v>291</v>
      </c>
      <c r="H20" s="138">
        <f>H69+H170</f>
        <v>30400</v>
      </c>
      <c r="I20" s="138">
        <f>I69+I170</f>
        <v>9333.7999999999993</v>
      </c>
      <c r="J20" s="138">
        <f>J69+J170</f>
        <v>5565.64</v>
      </c>
      <c r="K20" s="138">
        <f>K69+K171</f>
        <v>0</v>
      </c>
      <c r="L20" s="138">
        <f>L69+L171</f>
        <v>0</v>
      </c>
      <c r="M20" s="138">
        <f>M69+M171</f>
        <v>0</v>
      </c>
      <c r="N20" s="138">
        <f>N69+N171</f>
        <v>0</v>
      </c>
      <c r="O20" s="138">
        <f>O69+O171</f>
        <v>0</v>
      </c>
      <c r="P20" s="138">
        <f t="shared" si="6"/>
        <v>45299.44</v>
      </c>
      <c r="Q20" s="207"/>
      <c r="R20" s="208"/>
      <c r="S20" s="208"/>
      <c r="T20" s="208"/>
      <c r="U20" s="208"/>
      <c r="V20" s="208"/>
    </row>
    <row r="21" spans="1:22" s="218" customFormat="1" ht="78" customHeight="1" thickBot="1" x14ac:dyDescent="0.3">
      <c r="A21" s="512"/>
      <c r="B21" s="514"/>
      <c r="C21" s="175" t="s">
        <v>179</v>
      </c>
      <c r="D21" s="176" t="s">
        <v>38</v>
      </c>
      <c r="E21" s="177" t="s">
        <v>291</v>
      </c>
      <c r="F21" s="177" t="s">
        <v>291</v>
      </c>
      <c r="G21" s="177" t="s">
        <v>291</v>
      </c>
      <c r="H21" s="138">
        <f>H105</f>
        <v>1580</v>
      </c>
      <c r="I21" s="138">
        <f t="shared" ref="I21:O21" si="8">I105</f>
        <v>0</v>
      </c>
      <c r="J21" s="138">
        <f t="shared" si="8"/>
        <v>0</v>
      </c>
      <c r="K21" s="138">
        <f t="shared" si="8"/>
        <v>0</v>
      </c>
      <c r="L21" s="138">
        <f t="shared" si="8"/>
        <v>0</v>
      </c>
      <c r="M21" s="138">
        <f t="shared" si="8"/>
        <v>0</v>
      </c>
      <c r="N21" s="138">
        <f t="shared" si="8"/>
        <v>0</v>
      </c>
      <c r="O21" s="138">
        <f t="shared" si="8"/>
        <v>0</v>
      </c>
      <c r="P21" s="138">
        <f t="shared" si="6"/>
        <v>1580</v>
      </c>
      <c r="Q21" s="207"/>
      <c r="R21" s="208"/>
      <c r="S21" s="208"/>
      <c r="T21" s="208"/>
      <c r="U21" s="208"/>
      <c r="V21" s="208"/>
    </row>
    <row r="22" spans="1:22" s="223" customFormat="1" ht="28.5" customHeight="1" thickBot="1" x14ac:dyDescent="0.3">
      <c r="A22" s="441" t="s">
        <v>23</v>
      </c>
      <c r="B22" s="438" t="s">
        <v>138</v>
      </c>
      <c r="C22" s="222" t="s">
        <v>27</v>
      </c>
      <c r="D22" s="177" t="s">
        <v>291</v>
      </c>
      <c r="E22" s="177" t="s">
        <v>291</v>
      </c>
      <c r="F22" s="177" t="s">
        <v>291</v>
      </c>
      <c r="G22" s="177" t="s">
        <v>291</v>
      </c>
      <c r="H22" s="194">
        <f>H26+H40+H59</f>
        <v>245694.76</v>
      </c>
      <c r="I22" s="194">
        <f t="shared" ref="I22:J22" si="9">I26+I40+I59</f>
        <v>205626.3</v>
      </c>
      <c r="J22" s="194">
        <f t="shared" si="9"/>
        <v>350235.25</v>
      </c>
      <c r="K22" s="194">
        <f>K25+K39+K59</f>
        <v>335948.15</v>
      </c>
      <c r="L22" s="194">
        <f t="shared" ref="L22:O22" si="10">L25+L39</f>
        <v>378711.94</v>
      </c>
      <c r="M22" s="194">
        <f t="shared" si="10"/>
        <v>158509.84</v>
      </c>
      <c r="N22" s="194">
        <f t="shared" si="10"/>
        <v>158509.84</v>
      </c>
      <c r="O22" s="194">
        <f t="shared" si="10"/>
        <v>158509.84</v>
      </c>
      <c r="P22" s="194">
        <f t="shared" si="6"/>
        <v>1991745.92</v>
      </c>
      <c r="Q22" s="207"/>
      <c r="R22" s="208"/>
      <c r="S22" s="208"/>
      <c r="T22" s="208"/>
      <c r="U22" s="208"/>
      <c r="V22" s="208"/>
    </row>
    <row r="23" spans="1:22" s="223" customFormat="1" ht="57.75" customHeight="1" x14ac:dyDescent="0.25">
      <c r="A23" s="442"/>
      <c r="B23" s="439"/>
      <c r="C23" s="438" t="s">
        <v>22</v>
      </c>
      <c r="D23" s="224" t="s">
        <v>35</v>
      </c>
      <c r="E23" s="224" t="s">
        <v>291</v>
      </c>
      <c r="F23" s="224" t="s">
        <v>291</v>
      </c>
      <c r="G23" s="224" t="s">
        <v>291</v>
      </c>
      <c r="H23" s="139">
        <f>H26+H40+H59</f>
        <v>245694.76</v>
      </c>
      <c r="I23" s="139">
        <f t="shared" ref="I23:J23" si="11">I26+I40+I59</f>
        <v>205626.3</v>
      </c>
      <c r="J23" s="139">
        <f t="shared" si="11"/>
        <v>350235.25</v>
      </c>
      <c r="K23" s="139"/>
      <c r="L23" s="139"/>
      <c r="M23" s="139"/>
      <c r="N23" s="139"/>
      <c r="O23" s="139"/>
      <c r="P23" s="495">
        <f>SUM(H23:O24)</f>
        <v>1991745.92</v>
      </c>
      <c r="Q23" s="207"/>
      <c r="R23" s="208"/>
      <c r="S23" s="208"/>
      <c r="T23" s="208"/>
      <c r="U23" s="208"/>
      <c r="V23" s="208"/>
    </row>
    <row r="24" spans="1:22" s="223" customFormat="1" ht="62.25" customHeight="1" thickBot="1" x14ac:dyDescent="0.3">
      <c r="A24" s="443"/>
      <c r="B24" s="440"/>
      <c r="C24" s="440"/>
      <c r="D24" s="225" t="s">
        <v>35</v>
      </c>
      <c r="E24" s="225" t="s">
        <v>291</v>
      </c>
      <c r="F24" s="222">
        <v>1110000000</v>
      </c>
      <c r="G24" s="225" t="s">
        <v>291</v>
      </c>
      <c r="H24" s="226"/>
      <c r="I24" s="226"/>
      <c r="J24" s="226"/>
      <c r="K24" s="121">
        <f>K25+K39+K59</f>
        <v>335948.15</v>
      </c>
      <c r="L24" s="121">
        <f t="shared" ref="L24:O24" si="12">L25+L39</f>
        <v>378711.94</v>
      </c>
      <c r="M24" s="121">
        <f t="shared" si="12"/>
        <v>158509.84</v>
      </c>
      <c r="N24" s="121">
        <f t="shared" si="12"/>
        <v>158509.84</v>
      </c>
      <c r="O24" s="121">
        <f t="shared" si="12"/>
        <v>158509.84</v>
      </c>
      <c r="P24" s="496"/>
      <c r="Q24" s="207"/>
      <c r="R24" s="208"/>
      <c r="S24" s="208"/>
      <c r="T24" s="208"/>
      <c r="U24" s="208"/>
      <c r="V24" s="208"/>
    </row>
    <row r="25" spans="1:22" s="223" customFormat="1" ht="48.75" customHeight="1" thickBot="1" x14ac:dyDescent="0.3">
      <c r="A25" s="441" t="s">
        <v>122</v>
      </c>
      <c r="B25" s="438" t="s">
        <v>309</v>
      </c>
      <c r="C25" s="227" t="s">
        <v>27</v>
      </c>
      <c r="D25" s="225" t="s">
        <v>35</v>
      </c>
      <c r="E25" s="177" t="s">
        <v>291</v>
      </c>
      <c r="F25" s="177" t="s">
        <v>291</v>
      </c>
      <c r="G25" s="177" t="s">
        <v>291</v>
      </c>
      <c r="H25" s="194">
        <f>SUM(H26:H27)</f>
        <v>83851</v>
      </c>
      <c r="I25" s="194">
        <f>SUM(I26:I27)</f>
        <v>27990</v>
      </c>
      <c r="J25" s="194">
        <f>SUM(J26:J27)</f>
        <v>250.42</v>
      </c>
      <c r="K25" s="194">
        <f t="shared" ref="K25:O25" si="13">SUM(K27:K27)</f>
        <v>0</v>
      </c>
      <c r="L25" s="194">
        <f t="shared" si="13"/>
        <v>0</v>
      </c>
      <c r="M25" s="194">
        <f t="shared" si="13"/>
        <v>0</v>
      </c>
      <c r="N25" s="194">
        <f t="shared" si="13"/>
        <v>0</v>
      </c>
      <c r="O25" s="194">
        <f t="shared" si="13"/>
        <v>0</v>
      </c>
      <c r="P25" s="164">
        <f t="shared" si="6"/>
        <v>112091.42</v>
      </c>
      <c r="Q25" s="207"/>
      <c r="R25" s="208"/>
      <c r="S25" s="208"/>
      <c r="T25" s="208"/>
      <c r="U25" s="208"/>
      <c r="V25" s="208"/>
    </row>
    <row r="26" spans="1:22" s="223" customFormat="1" ht="60" customHeight="1" x14ac:dyDescent="0.25">
      <c r="A26" s="442"/>
      <c r="B26" s="439"/>
      <c r="C26" s="438" t="s">
        <v>22</v>
      </c>
      <c r="D26" s="224" t="s">
        <v>35</v>
      </c>
      <c r="E26" s="224" t="s">
        <v>291</v>
      </c>
      <c r="F26" s="224" t="s">
        <v>291</v>
      </c>
      <c r="G26" s="224" t="s">
        <v>291</v>
      </c>
      <c r="H26" s="140">
        <f>H28+H35+H37</f>
        <v>83851</v>
      </c>
      <c r="I26" s="140">
        <f>I28+I36+I38</f>
        <v>27990</v>
      </c>
      <c r="J26" s="140">
        <f>J28+J36+J38</f>
        <v>250.42</v>
      </c>
      <c r="K26" s="140"/>
      <c r="L26" s="140"/>
      <c r="M26" s="140"/>
      <c r="N26" s="140"/>
      <c r="O26" s="140"/>
      <c r="P26" s="495">
        <f>SUM(H26:O27)</f>
        <v>112091.42</v>
      </c>
      <c r="Q26" s="207"/>
      <c r="R26" s="208"/>
      <c r="S26" s="208"/>
      <c r="T26" s="208"/>
      <c r="U26" s="208"/>
      <c r="V26" s="208"/>
    </row>
    <row r="27" spans="1:22" s="223" customFormat="1" ht="55.5" customHeight="1" thickBot="1" x14ac:dyDescent="0.3">
      <c r="A27" s="442"/>
      <c r="B27" s="440"/>
      <c r="C27" s="440"/>
      <c r="D27" s="225" t="s">
        <v>35</v>
      </c>
      <c r="E27" s="225" t="s">
        <v>291</v>
      </c>
      <c r="F27" s="222">
        <v>1110100000</v>
      </c>
      <c r="G27" s="225" t="s">
        <v>291</v>
      </c>
      <c r="H27" s="226"/>
      <c r="I27" s="226"/>
      <c r="J27" s="226"/>
      <c r="K27" s="121">
        <f t="shared" ref="K27:O27" si="14">K28+K36+K38</f>
        <v>0</v>
      </c>
      <c r="L27" s="121">
        <f t="shared" si="14"/>
        <v>0</v>
      </c>
      <c r="M27" s="121">
        <f t="shared" si="14"/>
        <v>0</v>
      </c>
      <c r="N27" s="121">
        <f t="shared" si="14"/>
        <v>0</v>
      </c>
      <c r="O27" s="121">
        <f t="shared" si="14"/>
        <v>0</v>
      </c>
      <c r="P27" s="496"/>
      <c r="Q27" s="207"/>
      <c r="R27" s="208"/>
      <c r="S27" s="208"/>
      <c r="T27" s="208"/>
      <c r="U27" s="208"/>
      <c r="V27" s="208"/>
    </row>
    <row r="28" spans="1:22" s="218" customFormat="1" ht="184.5" customHeight="1" thickBot="1" x14ac:dyDescent="0.3">
      <c r="A28" s="227" t="s">
        <v>191</v>
      </c>
      <c r="B28" s="175" t="s">
        <v>192</v>
      </c>
      <c r="C28" s="175" t="s">
        <v>39</v>
      </c>
      <c r="D28" s="176" t="s">
        <v>35</v>
      </c>
      <c r="E28" s="176" t="s">
        <v>19</v>
      </c>
      <c r="F28" s="228" t="s">
        <v>291</v>
      </c>
      <c r="G28" s="229" t="s">
        <v>291</v>
      </c>
      <c r="H28" s="120">
        <f>SUM(H29:H34)</f>
        <v>80851</v>
      </c>
      <c r="I28" s="120">
        <f t="shared" ref="I28:O28" si="15">SUM(I29:I34)</f>
        <v>19400</v>
      </c>
      <c r="J28" s="120">
        <f t="shared" si="15"/>
        <v>0</v>
      </c>
      <c r="K28" s="120">
        <f t="shared" si="15"/>
        <v>0</v>
      </c>
      <c r="L28" s="120">
        <f t="shared" si="15"/>
        <v>0</v>
      </c>
      <c r="M28" s="120">
        <f t="shared" si="15"/>
        <v>0</v>
      </c>
      <c r="N28" s="120">
        <f t="shared" si="15"/>
        <v>0</v>
      </c>
      <c r="O28" s="120">
        <f t="shared" si="15"/>
        <v>0</v>
      </c>
      <c r="P28" s="120">
        <f>SUM(H28:O28)</f>
        <v>100251</v>
      </c>
      <c r="Q28" s="207"/>
      <c r="R28" s="208"/>
      <c r="S28" s="208"/>
      <c r="T28" s="208"/>
      <c r="U28" s="208"/>
      <c r="V28" s="208"/>
    </row>
    <row r="29" spans="1:22" s="218" customFormat="1" ht="105.75" customHeight="1" x14ac:dyDescent="0.25">
      <c r="A29" s="436" t="s">
        <v>316</v>
      </c>
      <c r="B29" s="449" t="s">
        <v>367</v>
      </c>
      <c r="C29" s="444" t="s">
        <v>357</v>
      </c>
      <c r="D29" s="230" t="s">
        <v>35</v>
      </c>
      <c r="E29" s="230" t="s">
        <v>19</v>
      </c>
      <c r="F29" s="231">
        <v>5221020</v>
      </c>
      <c r="G29" s="232" t="s">
        <v>40</v>
      </c>
      <c r="H29" s="233">
        <v>29000</v>
      </c>
      <c r="I29" s="141"/>
      <c r="J29" s="141"/>
      <c r="K29" s="141"/>
      <c r="L29" s="141"/>
      <c r="M29" s="141"/>
      <c r="N29" s="141"/>
      <c r="O29" s="141"/>
      <c r="P29" s="468">
        <f>SUM(H29:O30)</f>
        <v>33600</v>
      </c>
      <c r="Q29" s="207"/>
      <c r="R29" s="208"/>
      <c r="S29" s="208"/>
      <c r="T29" s="208"/>
      <c r="U29" s="208"/>
      <c r="V29" s="208"/>
    </row>
    <row r="30" spans="1:22" s="218" customFormat="1" ht="118.5" customHeight="1" thickBot="1" x14ac:dyDescent="0.3">
      <c r="A30" s="437"/>
      <c r="B30" s="450"/>
      <c r="C30" s="450"/>
      <c r="D30" s="234">
        <v>755</v>
      </c>
      <c r="E30" s="235" t="s">
        <v>19</v>
      </c>
      <c r="F30" s="236">
        <v>1112143</v>
      </c>
      <c r="G30" s="237" t="s">
        <v>28</v>
      </c>
      <c r="H30" s="142"/>
      <c r="I30" s="142">
        <f>5200-600</f>
        <v>4600</v>
      </c>
      <c r="J30" s="142">
        <v>0</v>
      </c>
      <c r="K30" s="142">
        <v>0</v>
      </c>
      <c r="L30" s="142">
        <v>0</v>
      </c>
      <c r="M30" s="142">
        <v>0</v>
      </c>
      <c r="N30" s="142">
        <v>0</v>
      </c>
      <c r="O30" s="142">
        <v>0</v>
      </c>
      <c r="P30" s="475"/>
      <c r="Q30" s="207"/>
      <c r="R30" s="208"/>
      <c r="S30" s="208"/>
      <c r="T30" s="208"/>
      <c r="U30" s="208"/>
      <c r="V30" s="208"/>
    </row>
    <row r="31" spans="1:22" s="218" customFormat="1" ht="57.75" customHeight="1" x14ac:dyDescent="0.25">
      <c r="A31" s="435" t="s">
        <v>194</v>
      </c>
      <c r="B31" s="449" t="s">
        <v>99</v>
      </c>
      <c r="C31" s="444" t="s">
        <v>22</v>
      </c>
      <c r="D31" s="238">
        <v>755</v>
      </c>
      <c r="E31" s="239" t="s">
        <v>19</v>
      </c>
      <c r="F31" s="239" t="s">
        <v>34</v>
      </c>
      <c r="G31" s="240" t="s">
        <v>40</v>
      </c>
      <c r="H31" s="171">
        <v>3700</v>
      </c>
      <c r="I31" s="143"/>
      <c r="J31" s="143"/>
      <c r="K31" s="143"/>
      <c r="L31" s="143"/>
      <c r="M31" s="143"/>
      <c r="N31" s="143"/>
      <c r="O31" s="143"/>
      <c r="P31" s="521">
        <f>SUM(H31:O32)</f>
        <v>4700</v>
      </c>
      <c r="Q31" s="207"/>
      <c r="R31" s="208"/>
      <c r="S31" s="208"/>
      <c r="T31" s="208"/>
      <c r="U31" s="208"/>
      <c r="V31" s="208"/>
    </row>
    <row r="32" spans="1:22" s="218" customFormat="1" ht="60" customHeight="1" thickBot="1" x14ac:dyDescent="0.3">
      <c r="A32" s="435"/>
      <c r="B32" s="450"/>
      <c r="C32" s="444"/>
      <c r="D32" s="241">
        <v>755</v>
      </c>
      <c r="E32" s="242" t="s">
        <v>19</v>
      </c>
      <c r="F32" s="242" t="s">
        <v>51</v>
      </c>
      <c r="G32" s="243" t="s">
        <v>28</v>
      </c>
      <c r="H32" s="131"/>
      <c r="I32" s="131">
        <v>1000</v>
      </c>
      <c r="J32" s="131">
        <v>0</v>
      </c>
      <c r="K32" s="131">
        <v>0</v>
      </c>
      <c r="L32" s="131">
        <v>0</v>
      </c>
      <c r="M32" s="131">
        <v>0</v>
      </c>
      <c r="N32" s="131">
        <v>0</v>
      </c>
      <c r="O32" s="131">
        <v>0</v>
      </c>
      <c r="P32" s="522"/>
      <c r="Q32" s="207"/>
      <c r="R32" s="208"/>
      <c r="S32" s="208"/>
      <c r="T32" s="208"/>
      <c r="U32" s="208"/>
      <c r="V32" s="208"/>
    </row>
    <row r="33" spans="1:22" s="218" customFormat="1" ht="111.75" customHeight="1" x14ac:dyDescent="0.25">
      <c r="A33" s="436" t="s">
        <v>195</v>
      </c>
      <c r="B33" s="449" t="s">
        <v>52</v>
      </c>
      <c r="C33" s="449" t="s">
        <v>22</v>
      </c>
      <c r="D33" s="231">
        <v>755</v>
      </c>
      <c r="E33" s="230" t="s">
        <v>19</v>
      </c>
      <c r="F33" s="230" t="s">
        <v>34</v>
      </c>
      <c r="G33" s="244" t="s">
        <v>40</v>
      </c>
      <c r="H33" s="233">
        <v>48151</v>
      </c>
      <c r="I33" s="144"/>
      <c r="J33" s="144"/>
      <c r="K33" s="144"/>
      <c r="L33" s="144"/>
      <c r="M33" s="144"/>
      <c r="N33" s="144"/>
      <c r="O33" s="144"/>
      <c r="P33" s="523">
        <f>SUM(H33:O34)</f>
        <v>61951</v>
      </c>
      <c r="Q33" s="207"/>
      <c r="R33" s="208"/>
      <c r="S33" s="208"/>
      <c r="T33" s="208"/>
      <c r="U33" s="208"/>
      <c r="V33" s="208"/>
    </row>
    <row r="34" spans="1:22" s="218" customFormat="1" ht="147.75" customHeight="1" thickBot="1" x14ac:dyDescent="0.3">
      <c r="A34" s="437"/>
      <c r="B34" s="450"/>
      <c r="C34" s="450"/>
      <c r="D34" s="236">
        <v>755</v>
      </c>
      <c r="E34" s="245" t="s">
        <v>19</v>
      </c>
      <c r="F34" s="245" t="s">
        <v>51</v>
      </c>
      <c r="G34" s="246" t="s">
        <v>28</v>
      </c>
      <c r="H34" s="142"/>
      <c r="I34" s="142">
        <v>13800</v>
      </c>
      <c r="J34" s="142">
        <v>0</v>
      </c>
      <c r="K34" s="142">
        <v>0</v>
      </c>
      <c r="L34" s="142">
        <v>0</v>
      </c>
      <c r="M34" s="142">
        <v>0</v>
      </c>
      <c r="N34" s="142">
        <v>0</v>
      </c>
      <c r="O34" s="142">
        <v>0</v>
      </c>
      <c r="P34" s="524"/>
      <c r="Q34" s="207"/>
      <c r="R34" s="208"/>
      <c r="S34" s="208"/>
      <c r="T34" s="208"/>
      <c r="U34" s="208"/>
      <c r="V34" s="208"/>
    </row>
    <row r="35" spans="1:22" s="218" customFormat="1" ht="47.1" customHeight="1" x14ac:dyDescent="0.25">
      <c r="A35" s="435" t="s">
        <v>196</v>
      </c>
      <c r="B35" s="449" t="s">
        <v>54</v>
      </c>
      <c r="C35" s="449" t="s">
        <v>22</v>
      </c>
      <c r="D35" s="231">
        <v>755</v>
      </c>
      <c r="E35" s="230" t="s">
        <v>19</v>
      </c>
      <c r="F35" s="230" t="s">
        <v>34</v>
      </c>
      <c r="G35" s="244" t="s">
        <v>40</v>
      </c>
      <c r="H35" s="233">
        <v>0</v>
      </c>
      <c r="I35" s="144"/>
      <c r="J35" s="144"/>
      <c r="K35" s="144"/>
      <c r="L35" s="144"/>
      <c r="M35" s="144"/>
      <c r="N35" s="144"/>
      <c r="O35" s="144"/>
      <c r="P35" s="523">
        <f>SUM(H35:M36)</f>
        <v>5738.89</v>
      </c>
      <c r="Q35" s="207"/>
      <c r="R35" s="208"/>
      <c r="S35" s="208"/>
      <c r="T35" s="208"/>
      <c r="U35" s="208"/>
      <c r="V35" s="208"/>
    </row>
    <row r="36" spans="1:22" s="218" customFormat="1" ht="47.1" customHeight="1" thickBot="1" x14ac:dyDescent="0.3">
      <c r="A36" s="504"/>
      <c r="B36" s="450"/>
      <c r="C36" s="450"/>
      <c r="D36" s="236">
        <v>755</v>
      </c>
      <c r="E36" s="245" t="s">
        <v>16</v>
      </c>
      <c r="F36" s="245" t="s">
        <v>55</v>
      </c>
      <c r="G36" s="246" t="s">
        <v>28</v>
      </c>
      <c r="H36" s="142"/>
      <c r="I36" s="142">
        <f>47500-6500-35500</f>
        <v>5500</v>
      </c>
      <c r="J36" s="142">
        <v>238.89</v>
      </c>
      <c r="K36" s="142">
        <v>0</v>
      </c>
      <c r="L36" s="142">
        <v>0</v>
      </c>
      <c r="M36" s="142">
        <v>0</v>
      </c>
      <c r="N36" s="142">
        <v>0</v>
      </c>
      <c r="O36" s="142">
        <v>0</v>
      </c>
      <c r="P36" s="524"/>
      <c r="Q36" s="207"/>
      <c r="R36" s="208"/>
      <c r="S36" s="208"/>
      <c r="T36" s="208"/>
      <c r="U36" s="208"/>
      <c r="V36" s="208"/>
    </row>
    <row r="37" spans="1:22" s="218" customFormat="1" ht="39" customHeight="1" x14ac:dyDescent="0.25">
      <c r="A37" s="505" t="s">
        <v>197</v>
      </c>
      <c r="B37" s="449" t="s">
        <v>56</v>
      </c>
      <c r="C37" s="449" t="s">
        <v>22</v>
      </c>
      <c r="D37" s="231">
        <v>755</v>
      </c>
      <c r="E37" s="230" t="s">
        <v>19</v>
      </c>
      <c r="F37" s="230" t="s">
        <v>34</v>
      </c>
      <c r="G37" s="244" t="s">
        <v>40</v>
      </c>
      <c r="H37" s="233">
        <v>3000</v>
      </c>
      <c r="I37" s="144"/>
      <c r="J37" s="144"/>
      <c r="K37" s="144"/>
      <c r="L37" s="144"/>
      <c r="M37" s="144"/>
      <c r="N37" s="144"/>
      <c r="O37" s="144"/>
      <c r="P37" s="523">
        <f>SUM(H37:O38)</f>
        <v>6101.53</v>
      </c>
      <c r="Q37" s="207"/>
      <c r="R37" s="208"/>
      <c r="S37" s="208"/>
      <c r="T37" s="208"/>
      <c r="U37" s="208"/>
      <c r="V37" s="208"/>
    </row>
    <row r="38" spans="1:22" s="218" customFormat="1" ht="39" customHeight="1" thickBot="1" x14ac:dyDescent="0.3">
      <c r="A38" s="503"/>
      <c r="B38" s="450"/>
      <c r="C38" s="450"/>
      <c r="D38" s="236">
        <v>755</v>
      </c>
      <c r="E38" s="245" t="s">
        <v>19</v>
      </c>
      <c r="F38" s="245" t="s">
        <v>57</v>
      </c>
      <c r="G38" s="246" t="s">
        <v>28</v>
      </c>
      <c r="H38" s="142"/>
      <c r="I38" s="142">
        <v>3090</v>
      </c>
      <c r="J38" s="142">
        <v>11.53</v>
      </c>
      <c r="K38" s="142">
        <v>0</v>
      </c>
      <c r="L38" s="142">
        <v>0</v>
      </c>
      <c r="M38" s="142">
        <v>0</v>
      </c>
      <c r="N38" s="142">
        <v>0</v>
      </c>
      <c r="O38" s="142">
        <v>0</v>
      </c>
      <c r="P38" s="524"/>
      <c r="Q38" s="207"/>
      <c r="R38" s="208"/>
      <c r="S38" s="208"/>
      <c r="T38" s="208"/>
      <c r="U38" s="208"/>
      <c r="V38" s="208"/>
    </row>
    <row r="39" spans="1:22" s="223" customFormat="1" ht="36" customHeight="1" thickBot="1" x14ac:dyDescent="0.3">
      <c r="A39" s="500" t="s">
        <v>123</v>
      </c>
      <c r="B39" s="438" t="s">
        <v>294</v>
      </c>
      <c r="C39" s="227" t="s">
        <v>27</v>
      </c>
      <c r="D39" s="227" t="s">
        <v>291</v>
      </c>
      <c r="E39" s="177" t="s">
        <v>291</v>
      </c>
      <c r="F39" s="177" t="s">
        <v>291</v>
      </c>
      <c r="G39" s="177" t="s">
        <v>291</v>
      </c>
      <c r="H39" s="127">
        <f t="shared" ref="H39:J39" si="16">SUM(H42:H57)</f>
        <v>152050</v>
      </c>
      <c r="I39" s="127">
        <f t="shared" si="16"/>
        <v>163636.29999999999</v>
      </c>
      <c r="J39" s="127">
        <f t="shared" si="16"/>
        <v>340535.76</v>
      </c>
      <c r="K39" s="127">
        <f>SUM(K42:K58)</f>
        <v>333113.43</v>
      </c>
      <c r="L39" s="127">
        <f t="shared" ref="L39:O39" si="17">SUM(L42:L58)</f>
        <v>378711.94</v>
      </c>
      <c r="M39" s="127">
        <f t="shared" si="17"/>
        <v>158509.84</v>
      </c>
      <c r="N39" s="127">
        <f t="shared" si="17"/>
        <v>158509.84</v>
      </c>
      <c r="O39" s="127">
        <f t="shared" si="17"/>
        <v>158509.84</v>
      </c>
      <c r="P39" s="247">
        <f>SUM(H39:O39)</f>
        <v>1843576.95</v>
      </c>
      <c r="Q39" s="207"/>
      <c r="R39" s="208"/>
      <c r="S39" s="208"/>
      <c r="T39" s="208"/>
      <c r="U39" s="208"/>
      <c r="V39" s="208"/>
    </row>
    <row r="40" spans="1:22" s="223" customFormat="1" ht="48" customHeight="1" x14ac:dyDescent="0.25">
      <c r="A40" s="435"/>
      <c r="B40" s="439"/>
      <c r="C40" s="438" t="s">
        <v>22</v>
      </c>
      <c r="D40" s="224" t="s">
        <v>35</v>
      </c>
      <c r="E40" s="224" t="s">
        <v>291</v>
      </c>
      <c r="F40" s="224" t="s">
        <v>291</v>
      </c>
      <c r="G40" s="224" t="s">
        <v>291</v>
      </c>
      <c r="H40" s="145">
        <f>SUM(H42:H57)</f>
        <v>152050</v>
      </c>
      <c r="I40" s="145">
        <f>SUM(I42:I57)</f>
        <v>163636.29999999999</v>
      </c>
      <c r="J40" s="145">
        <f>SUM(J42:J57)</f>
        <v>340535.76</v>
      </c>
      <c r="K40" s="145"/>
      <c r="L40" s="145"/>
      <c r="M40" s="145"/>
      <c r="N40" s="145"/>
      <c r="O40" s="145"/>
      <c r="P40" s="498">
        <f>SUM(H40:O41)</f>
        <v>1843576.95</v>
      </c>
      <c r="Q40" s="207"/>
      <c r="R40" s="208"/>
      <c r="S40" s="208"/>
      <c r="T40" s="208"/>
      <c r="U40" s="208"/>
      <c r="V40" s="208"/>
    </row>
    <row r="41" spans="1:22" s="223" customFormat="1" ht="54.75" customHeight="1" thickBot="1" x14ac:dyDescent="0.3">
      <c r="A41" s="437"/>
      <c r="B41" s="440"/>
      <c r="C41" s="440"/>
      <c r="D41" s="248" t="s">
        <v>35</v>
      </c>
      <c r="E41" s="248" t="s">
        <v>291</v>
      </c>
      <c r="F41" s="249">
        <v>1110200000</v>
      </c>
      <c r="G41" s="248" t="s">
        <v>291</v>
      </c>
      <c r="H41" s="226"/>
      <c r="I41" s="226"/>
      <c r="J41" s="226"/>
      <c r="K41" s="122">
        <f>SUM(K42:K58)</f>
        <v>333113.43</v>
      </c>
      <c r="L41" s="122">
        <f t="shared" ref="L41:O41" si="18">SUM(L42:L58)</f>
        <v>378711.94</v>
      </c>
      <c r="M41" s="122">
        <f t="shared" si="18"/>
        <v>158509.84</v>
      </c>
      <c r="N41" s="122">
        <f t="shared" si="18"/>
        <v>158509.84</v>
      </c>
      <c r="O41" s="122">
        <f t="shared" si="18"/>
        <v>158509.84</v>
      </c>
      <c r="P41" s="499"/>
      <c r="Q41" s="207"/>
      <c r="R41" s="208"/>
      <c r="S41" s="208"/>
      <c r="T41" s="208"/>
      <c r="U41" s="208"/>
      <c r="V41" s="208"/>
    </row>
    <row r="42" spans="1:22" s="218" customFormat="1" ht="39.75" customHeight="1" x14ac:dyDescent="0.25">
      <c r="A42" s="501" t="s">
        <v>124</v>
      </c>
      <c r="B42" s="449" t="s">
        <v>141</v>
      </c>
      <c r="C42" s="449" t="s">
        <v>22</v>
      </c>
      <c r="D42" s="231">
        <v>755</v>
      </c>
      <c r="E42" s="230" t="s">
        <v>16</v>
      </c>
      <c r="F42" s="230" t="s">
        <v>41</v>
      </c>
      <c r="G42" s="232" t="s">
        <v>43</v>
      </c>
      <c r="H42" s="160">
        <v>14000</v>
      </c>
      <c r="I42" s="144"/>
      <c r="J42" s="144"/>
      <c r="K42" s="144"/>
      <c r="L42" s="144"/>
      <c r="M42" s="144"/>
      <c r="N42" s="144"/>
      <c r="O42" s="144"/>
      <c r="P42" s="474">
        <f>SUM(H42:O44)</f>
        <v>348494.56</v>
      </c>
      <c r="Q42" s="207"/>
      <c r="R42" s="208"/>
      <c r="S42" s="208"/>
      <c r="T42" s="208"/>
      <c r="U42" s="208"/>
      <c r="V42" s="208"/>
    </row>
    <row r="43" spans="1:22" s="218" customFormat="1" ht="40.5" customHeight="1" x14ac:dyDescent="0.25">
      <c r="A43" s="473"/>
      <c r="B43" s="444"/>
      <c r="C43" s="444"/>
      <c r="D43" s="250">
        <v>755</v>
      </c>
      <c r="E43" s="251" t="s">
        <v>16</v>
      </c>
      <c r="F43" s="251" t="s">
        <v>42</v>
      </c>
      <c r="G43" s="252" t="s">
        <v>43</v>
      </c>
      <c r="H43" s="123"/>
      <c r="I43" s="123">
        <f>36186.3</f>
        <v>36186.300000000003</v>
      </c>
      <c r="J43" s="123">
        <f>(38223.53+10200+2384.64)-(38223.53+10200+2384.64)*5/100</f>
        <v>48267.76</v>
      </c>
      <c r="K43" s="123"/>
      <c r="L43" s="123"/>
      <c r="M43" s="123"/>
      <c r="N43" s="123"/>
      <c r="O43" s="123"/>
      <c r="P43" s="468"/>
      <c r="Q43" s="207"/>
      <c r="R43" s="208"/>
      <c r="S43" s="208"/>
      <c r="T43" s="208"/>
      <c r="U43" s="208"/>
      <c r="V43" s="208"/>
    </row>
    <row r="44" spans="1:22" s="218" customFormat="1" ht="39.75" customHeight="1" x14ac:dyDescent="0.25">
      <c r="A44" s="503"/>
      <c r="B44" s="506"/>
      <c r="C44" s="506"/>
      <c r="D44" s="250">
        <v>755</v>
      </c>
      <c r="E44" s="251" t="s">
        <v>16</v>
      </c>
      <c r="F44" s="251" t="s">
        <v>183</v>
      </c>
      <c r="G44" s="252" t="s">
        <v>43</v>
      </c>
      <c r="H44" s="123"/>
      <c r="I44" s="123"/>
      <c r="J44" s="123"/>
      <c r="K44" s="123">
        <f>35519.6+10200+2290.24+1365.5+10000-10000</f>
        <v>49375.34</v>
      </c>
      <c r="L44" s="123">
        <v>56635.64</v>
      </c>
      <c r="M44" s="123">
        <v>48009.84</v>
      </c>
      <c r="N44" s="123">
        <v>48009.84</v>
      </c>
      <c r="O44" s="123">
        <v>48009.84</v>
      </c>
      <c r="P44" s="521"/>
      <c r="Q44" s="207"/>
      <c r="R44" s="208"/>
      <c r="S44" s="208"/>
      <c r="T44" s="208"/>
      <c r="U44" s="208"/>
      <c r="V44" s="208"/>
    </row>
    <row r="45" spans="1:22" s="218" customFormat="1" ht="24" customHeight="1" x14ac:dyDescent="0.25">
      <c r="A45" s="435" t="s">
        <v>125</v>
      </c>
      <c r="B45" s="482" t="s">
        <v>142</v>
      </c>
      <c r="C45" s="444" t="s">
        <v>22</v>
      </c>
      <c r="D45" s="238">
        <v>755</v>
      </c>
      <c r="E45" s="239" t="s">
        <v>16</v>
      </c>
      <c r="F45" s="239" t="s">
        <v>41</v>
      </c>
      <c r="G45" s="240" t="s">
        <v>46</v>
      </c>
      <c r="H45" s="171">
        <v>84050</v>
      </c>
      <c r="I45" s="143"/>
      <c r="J45" s="171"/>
      <c r="K45" s="143"/>
      <c r="L45" s="143"/>
      <c r="M45" s="143"/>
      <c r="N45" s="143"/>
      <c r="O45" s="143"/>
      <c r="P45" s="468">
        <f>SUM(H45:O49)</f>
        <v>173136.3</v>
      </c>
      <c r="Q45" s="207"/>
      <c r="R45" s="208"/>
      <c r="S45" s="208"/>
      <c r="T45" s="208"/>
      <c r="U45" s="208"/>
      <c r="V45" s="208"/>
    </row>
    <row r="46" spans="1:22" s="218" customFormat="1" ht="24" customHeight="1" x14ac:dyDescent="0.25">
      <c r="A46" s="435"/>
      <c r="B46" s="482"/>
      <c r="C46" s="444"/>
      <c r="D46" s="250">
        <v>755</v>
      </c>
      <c r="E46" s="251" t="s">
        <v>16</v>
      </c>
      <c r="F46" s="251" t="s">
        <v>44</v>
      </c>
      <c r="G46" s="252" t="s">
        <v>46</v>
      </c>
      <c r="H46" s="124"/>
      <c r="I46" s="124">
        <v>700</v>
      </c>
      <c r="J46" s="253">
        <f>697.97</f>
        <v>697.97</v>
      </c>
      <c r="K46" s="146"/>
      <c r="L46" s="146"/>
      <c r="M46" s="146"/>
      <c r="N46" s="146"/>
      <c r="O46" s="146"/>
      <c r="P46" s="468"/>
      <c r="Q46" s="207"/>
      <c r="R46" s="208"/>
      <c r="S46" s="208"/>
      <c r="T46" s="208"/>
      <c r="U46" s="208"/>
      <c r="V46" s="208"/>
    </row>
    <row r="47" spans="1:22" s="218" customFormat="1" ht="24" customHeight="1" x14ac:dyDescent="0.25">
      <c r="A47" s="435"/>
      <c r="B47" s="482"/>
      <c r="C47" s="444"/>
      <c r="D47" s="250">
        <v>755</v>
      </c>
      <c r="E47" s="251" t="s">
        <v>16</v>
      </c>
      <c r="F47" s="251" t="s">
        <v>45</v>
      </c>
      <c r="G47" s="252" t="s">
        <v>46</v>
      </c>
      <c r="H47" s="124"/>
      <c r="I47" s="124">
        <v>9610</v>
      </c>
      <c r="J47" s="124">
        <f>12102.03</f>
        <v>12102.03</v>
      </c>
      <c r="K47" s="124"/>
      <c r="L47" s="124"/>
      <c r="M47" s="124"/>
      <c r="N47" s="124"/>
      <c r="O47" s="124"/>
      <c r="P47" s="468"/>
      <c r="Q47" s="207"/>
      <c r="R47" s="208"/>
      <c r="S47" s="208"/>
      <c r="T47" s="208"/>
      <c r="U47" s="208"/>
      <c r="V47" s="208"/>
    </row>
    <row r="48" spans="1:22" s="218" customFormat="1" ht="24" customHeight="1" x14ac:dyDescent="0.25">
      <c r="A48" s="435"/>
      <c r="B48" s="482"/>
      <c r="C48" s="444"/>
      <c r="D48" s="250">
        <v>755</v>
      </c>
      <c r="E48" s="251" t="s">
        <v>16</v>
      </c>
      <c r="F48" s="251" t="s">
        <v>184</v>
      </c>
      <c r="G48" s="252" t="s">
        <v>46</v>
      </c>
      <c r="H48" s="124"/>
      <c r="I48" s="124"/>
      <c r="J48" s="124"/>
      <c r="K48" s="124">
        <f>2300+2000</f>
        <v>4300</v>
      </c>
      <c r="L48" s="124">
        <v>4000</v>
      </c>
      <c r="M48" s="124">
        <v>0</v>
      </c>
      <c r="N48" s="124">
        <v>0</v>
      </c>
      <c r="O48" s="124">
        <v>0</v>
      </c>
      <c r="P48" s="468"/>
      <c r="Q48" s="207"/>
      <c r="R48" s="208"/>
      <c r="S48" s="208"/>
      <c r="T48" s="208"/>
      <c r="U48" s="208"/>
      <c r="V48" s="208"/>
    </row>
    <row r="49" spans="1:22" s="218" customFormat="1" ht="24" customHeight="1" thickBot="1" x14ac:dyDescent="0.3">
      <c r="A49" s="437"/>
      <c r="B49" s="483"/>
      <c r="C49" s="450"/>
      <c r="D49" s="254">
        <v>755</v>
      </c>
      <c r="E49" s="245" t="s">
        <v>16</v>
      </c>
      <c r="F49" s="245" t="s">
        <v>256</v>
      </c>
      <c r="G49" s="254">
        <v>622</v>
      </c>
      <c r="H49" s="142"/>
      <c r="I49" s="142"/>
      <c r="J49" s="142"/>
      <c r="K49" s="142">
        <f>10500</f>
        <v>10500</v>
      </c>
      <c r="L49" s="142">
        <f>8196.3+7480</f>
        <v>15676.3</v>
      </c>
      <c r="M49" s="142">
        <v>10500</v>
      </c>
      <c r="N49" s="142">
        <v>10500</v>
      </c>
      <c r="O49" s="142">
        <f>10500</f>
        <v>10500</v>
      </c>
      <c r="P49" s="475"/>
      <c r="Q49" s="207"/>
      <c r="R49" s="208"/>
      <c r="S49" s="208"/>
      <c r="T49" s="208"/>
      <c r="U49" s="208"/>
      <c r="V49" s="208"/>
    </row>
    <row r="50" spans="1:22" s="218" customFormat="1" ht="53.25" customHeight="1" x14ac:dyDescent="0.25">
      <c r="A50" s="436" t="s">
        <v>126</v>
      </c>
      <c r="B50" s="481" t="s">
        <v>47</v>
      </c>
      <c r="C50" s="449" t="s">
        <v>22</v>
      </c>
      <c r="D50" s="231">
        <v>755</v>
      </c>
      <c r="E50" s="230" t="s">
        <v>16</v>
      </c>
      <c r="F50" s="230" t="s">
        <v>48</v>
      </c>
      <c r="G50" s="244" t="s">
        <v>50</v>
      </c>
      <c r="H50" s="233">
        <v>54000</v>
      </c>
      <c r="I50" s="255"/>
      <c r="J50" s="144"/>
      <c r="K50" s="144"/>
      <c r="L50" s="144"/>
      <c r="M50" s="144"/>
      <c r="N50" s="144"/>
      <c r="O50" s="144"/>
      <c r="P50" s="474">
        <f>SUM(H50:O52)</f>
        <v>326008</v>
      </c>
      <c r="Q50" s="207"/>
      <c r="R50" s="208"/>
      <c r="S50" s="208"/>
      <c r="T50" s="208"/>
      <c r="U50" s="208"/>
      <c r="V50" s="208"/>
    </row>
    <row r="51" spans="1:22" s="218" customFormat="1" ht="48.75" customHeight="1" x14ac:dyDescent="0.25">
      <c r="A51" s="435"/>
      <c r="B51" s="482"/>
      <c r="C51" s="444"/>
      <c r="D51" s="250">
        <v>755</v>
      </c>
      <c r="E51" s="251" t="s">
        <v>16</v>
      </c>
      <c r="F51" s="251" t="s">
        <v>49</v>
      </c>
      <c r="G51" s="252" t="s">
        <v>290</v>
      </c>
      <c r="H51" s="172"/>
      <c r="I51" s="124">
        <v>117140</v>
      </c>
      <c r="J51" s="256">
        <v>130868</v>
      </c>
      <c r="K51" s="257"/>
      <c r="L51" s="146"/>
      <c r="M51" s="146"/>
      <c r="N51" s="146"/>
      <c r="O51" s="146"/>
      <c r="P51" s="468"/>
      <c r="Q51" s="207"/>
      <c r="R51" s="208"/>
      <c r="S51" s="208"/>
      <c r="T51" s="208"/>
      <c r="U51" s="208"/>
      <c r="V51" s="208"/>
    </row>
    <row r="52" spans="1:22" s="218" customFormat="1" ht="57.75" customHeight="1" thickBot="1" x14ac:dyDescent="0.3">
      <c r="A52" s="437"/>
      <c r="B52" s="483"/>
      <c r="C52" s="450"/>
      <c r="D52" s="236">
        <v>755</v>
      </c>
      <c r="E52" s="245" t="s">
        <v>16</v>
      </c>
      <c r="F52" s="245" t="s">
        <v>185</v>
      </c>
      <c r="G52" s="246" t="s">
        <v>290</v>
      </c>
      <c r="H52" s="142"/>
      <c r="I52" s="142"/>
      <c r="J52" s="142"/>
      <c r="K52" s="142">
        <v>24000</v>
      </c>
      <c r="L52" s="142">
        <v>0</v>
      </c>
      <c r="M52" s="142">
        <v>0</v>
      </c>
      <c r="N52" s="142">
        <v>0</v>
      </c>
      <c r="O52" s="142">
        <v>0</v>
      </c>
      <c r="P52" s="475"/>
      <c r="Q52" s="207"/>
      <c r="R52" s="208"/>
      <c r="S52" s="208"/>
      <c r="T52" s="208"/>
      <c r="U52" s="208"/>
      <c r="V52" s="208"/>
    </row>
    <row r="53" spans="1:22" s="218" customFormat="1" ht="90" customHeight="1" x14ac:dyDescent="0.25">
      <c r="A53" s="501" t="s">
        <v>127</v>
      </c>
      <c r="B53" s="482" t="s">
        <v>106</v>
      </c>
      <c r="C53" s="444" t="s">
        <v>22</v>
      </c>
      <c r="D53" s="484" t="s">
        <v>100</v>
      </c>
      <c r="E53" s="484" t="s">
        <v>100</v>
      </c>
      <c r="F53" s="484" t="s">
        <v>100</v>
      </c>
      <c r="G53" s="497" t="s">
        <v>100</v>
      </c>
      <c r="H53" s="468">
        <v>0</v>
      </c>
      <c r="I53" s="468">
        <v>0</v>
      </c>
      <c r="J53" s="468">
        <v>0</v>
      </c>
      <c r="K53" s="468">
        <v>0</v>
      </c>
      <c r="L53" s="468">
        <v>0</v>
      </c>
      <c r="M53" s="468">
        <v>0</v>
      </c>
      <c r="N53" s="468">
        <v>0</v>
      </c>
      <c r="O53" s="468">
        <v>0</v>
      </c>
      <c r="P53" s="468">
        <f>SUM(H53:L54)</f>
        <v>0</v>
      </c>
      <c r="Q53" s="207"/>
      <c r="R53" s="208"/>
      <c r="S53" s="208"/>
      <c r="T53" s="208"/>
      <c r="U53" s="208"/>
      <c r="V53" s="208"/>
    </row>
    <row r="54" spans="1:22" s="218" customFormat="1" ht="132.75" customHeight="1" thickBot="1" x14ac:dyDescent="0.3">
      <c r="A54" s="502"/>
      <c r="B54" s="482"/>
      <c r="C54" s="444"/>
      <c r="D54" s="484"/>
      <c r="E54" s="484"/>
      <c r="F54" s="484"/>
      <c r="G54" s="497"/>
      <c r="H54" s="468"/>
      <c r="I54" s="468"/>
      <c r="J54" s="468"/>
      <c r="K54" s="468"/>
      <c r="L54" s="468"/>
      <c r="M54" s="468"/>
      <c r="N54" s="468"/>
      <c r="O54" s="468"/>
      <c r="P54" s="468"/>
      <c r="Q54" s="207"/>
      <c r="R54" s="208"/>
      <c r="S54" s="208"/>
      <c r="T54" s="208"/>
      <c r="U54" s="208"/>
      <c r="V54" s="208"/>
    </row>
    <row r="55" spans="1:22" s="218" customFormat="1" ht="78" customHeight="1" x14ac:dyDescent="0.25">
      <c r="A55" s="435" t="s">
        <v>128</v>
      </c>
      <c r="B55" s="481" t="s">
        <v>107</v>
      </c>
      <c r="C55" s="449" t="s">
        <v>22</v>
      </c>
      <c r="D55" s="231">
        <v>755</v>
      </c>
      <c r="E55" s="230" t="s">
        <v>16</v>
      </c>
      <c r="F55" s="230" t="s">
        <v>110</v>
      </c>
      <c r="G55" s="244" t="s">
        <v>290</v>
      </c>
      <c r="H55" s="233">
        <v>0</v>
      </c>
      <c r="I55" s="233">
        <v>0</v>
      </c>
      <c r="J55" s="233">
        <f>100000-6000</f>
        <v>94000</v>
      </c>
      <c r="K55" s="144"/>
      <c r="L55" s="144"/>
      <c r="M55" s="144"/>
      <c r="N55" s="144"/>
      <c r="O55" s="144"/>
      <c r="P55" s="474">
        <f>SUM(H55:O56)</f>
        <v>936538.09</v>
      </c>
      <c r="Q55" s="207"/>
      <c r="R55" s="208"/>
      <c r="S55" s="208"/>
      <c r="T55" s="208"/>
      <c r="U55" s="208"/>
      <c r="V55" s="208"/>
    </row>
    <row r="56" spans="1:22" s="218" customFormat="1" ht="96.75" customHeight="1" thickBot="1" x14ac:dyDescent="0.3">
      <c r="A56" s="435"/>
      <c r="B56" s="483"/>
      <c r="C56" s="450"/>
      <c r="D56" s="251">
        <v>755</v>
      </c>
      <c r="E56" s="123" t="s">
        <v>16</v>
      </c>
      <c r="F56" s="123" t="s">
        <v>186</v>
      </c>
      <c r="G56" s="123" t="s">
        <v>290</v>
      </c>
      <c r="H56" s="123"/>
      <c r="I56" s="123"/>
      <c r="J56" s="123"/>
      <c r="K56" s="123">
        <f>242538.09</f>
        <v>242538.09</v>
      </c>
      <c r="L56" s="142">
        <f>250000+50000</f>
        <v>300000</v>
      </c>
      <c r="M56" s="142">
        <v>100000</v>
      </c>
      <c r="N56" s="142">
        <v>100000</v>
      </c>
      <c r="O56" s="142">
        <v>100000</v>
      </c>
      <c r="P56" s="475"/>
      <c r="Q56" s="207"/>
      <c r="R56" s="208"/>
      <c r="S56" s="208"/>
      <c r="T56" s="208"/>
      <c r="U56" s="208"/>
      <c r="V56" s="208"/>
    </row>
    <row r="57" spans="1:22" s="218" customFormat="1" ht="180.75" customHeight="1" thickBot="1" x14ac:dyDescent="0.3">
      <c r="A57" s="258" t="s">
        <v>129</v>
      </c>
      <c r="B57" s="259" t="s">
        <v>305</v>
      </c>
      <c r="C57" s="175" t="s">
        <v>22</v>
      </c>
      <c r="D57" s="228">
        <v>755</v>
      </c>
      <c r="E57" s="176" t="s">
        <v>19</v>
      </c>
      <c r="F57" s="176" t="s">
        <v>113</v>
      </c>
      <c r="G57" s="260" t="s">
        <v>28</v>
      </c>
      <c r="H57" s="125">
        <v>0</v>
      </c>
      <c r="I57" s="125">
        <v>0</v>
      </c>
      <c r="J57" s="125">
        <f>47000+15000-7400</f>
        <v>54600</v>
      </c>
      <c r="K57" s="125">
        <v>0</v>
      </c>
      <c r="L57" s="125">
        <v>0</v>
      </c>
      <c r="M57" s="125">
        <v>0</v>
      </c>
      <c r="N57" s="125">
        <v>0</v>
      </c>
      <c r="O57" s="125">
        <v>0</v>
      </c>
      <c r="P57" s="125">
        <f>SUM(H57:O57)</f>
        <v>54600</v>
      </c>
      <c r="Q57" s="207"/>
      <c r="R57" s="208"/>
      <c r="S57" s="208"/>
      <c r="T57" s="208"/>
      <c r="U57" s="208"/>
      <c r="V57" s="208"/>
    </row>
    <row r="58" spans="1:22" s="218" customFormat="1" ht="159.75" customHeight="1" thickBot="1" x14ac:dyDescent="0.3">
      <c r="A58" s="258" t="s">
        <v>340</v>
      </c>
      <c r="B58" s="259" t="s">
        <v>350</v>
      </c>
      <c r="C58" s="175" t="s">
        <v>22</v>
      </c>
      <c r="D58" s="228">
        <v>755</v>
      </c>
      <c r="E58" s="176" t="s">
        <v>16</v>
      </c>
      <c r="F58" s="176" t="s">
        <v>366</v>
      </c>
      <c r="G58" s="261">
        <v>540</v>
      </c>
      <c r="H58" s="125"/>
      <c r="I58" s="125"/>
      <c r="J58" s="125"/>
      <c r="K58" s="125">
        <f>0+2400</f>
        <v>2400</v>
      </c>
      <c r="L58" s="125">
        <v>2400</v>
      </c>
      <c r="M58" s="125">
        <v>0</v>
      </c>
      <c r="N58" s="125">
        <v>0</v>
      </c>
      <c r="O58" s="125">
        <v>0</v>
      </c>
      <c r="P58" s="125">
        <f>SUM(H58:O58)</f>
        <v>4800</v>
      </c>
      <c r="Q58" s="207"/>
      <c r="R58" s="208"/>
      <c r="S58" s="208"/>
      <c r="T58" s="208"/>
      <c r="U58" s="208"/>
      <c r="V58" s="208"/>
    </row>
    <row r="59" spans="1:22" s="218" customFormat="1" ht="19.5" customHeight="1" thickBot="1" x14ac:dyDescent="0.3">
      <c r="A59" s="473" t="s">
        <v>130</v>
      </c>
      <c r="B59" s="438" t="s">
        <v>338</v>
      </c>
      <c r="C59" s="227" t="s">
        <v>27</v>
      </c>
      <c r="D59" s="227" t="s">
        <v>291</v>
      </c>
      <c r="E59" s="177" t="s">
        <v>291</v>
      </c>
      <c r="F59" s="177" t="s">
        <v>291</v>
      </c>
      <c r="G59" s="177" t="s">
        <v>291</v>
      </c>
      <c r="H59" s="147">
        <f>SUM(H60:H61)</f>
        <v>9793.76</v>
      </c>
      <c r="I59" s="147">
        <f>SUM(I60:I61)</f>
        <v>14000</v>
      </c>
      <c r="J59" s="147">
        <f>SUM(J60:J61)</f>
        <v>9449.07</v>
      </c>
      <c r="K59" s="147">
        <f t="shared" ref="K59:O59" si="19">SUM(K60:K62)</f>
        <v>2834.72</v>
      </c>
      <c r="L59" s="147">
        <f t="shared" si="19"/>
        <v>0</v>
      </c>
      <c r="M59" s="147">
        <f t="shared" si="19"/>
        <v>0</v>
      </c>
      <c r="N59" s="147">
        <f t="shared" si="19"/>
        <v>0</v>
      </c>
      <c r="O59" s="147">
        <f t="shared" si="19"/>
        <v>0</v>
      </c>
      <c r="P59" s="247">
        <f>SUM(H59:O59)</f>
        <v>36077.550000000003</v>
      </c>
      <c r="Q59" s="207"/>
      <c r="R59" s="208"/>
      <c r="S59" s="208"/>
      <c r="T59" s="208"/>
      <c r="U59" s="208"/>
      <c r="V59" s="208"/>
    </row>
    <row r="60" spans="1:22" s="218" customFormat="1" ht="42" customHeight="1" x14ac:dyDescent="0.25">
      <c r="A60" s="473"/>
      <c r="B60" s="439"/>
      <c r="C60" s="438" t="s">
        <v>22</v>
      </c>
      <c r="D60" s="191">
        <v>755</v>
      </c>
      <c r="E60" s="262" t="s">
        <v>19</v>
      </c>
      <c r="F60" s="262" t="s">
        <v>34</v>
      </c>
      <c r="G60" s="263" t="s">
        <v>40</v>
      </c>
      <c r="H60" s="159">
        <f>H63</f>
        <v>9793.76</v>
      </c>
      <c r="I60" s="149"/>
      <c r="J60" s="149"/>
      <c r="K60" s="148"/>
      <c r="L60" s="148"/>
      <c r="M60" s="148"/>
      <c r="N60" s="148"/>
      <c r="O60" s="148"/>
      <c r="P60" s="480">
        <f>SUM(H60:O62)</f>
        <v>36077.550000000003</v>
      </c>
      <c r="Q60" s="207"/>
      <c r="R60" s="208"/>
      <c r="S60" s="208"/>
      <c r="T60" s="208"/>
      <c r="U60" s="208"/>
      <c r="V60" s="208"/>
    </row>
    <row r="61" spans="1:22" s="218" customFormat="1" ht="42" customHeight="1" x14ac:dyDescent="0.25">
      <c r="A61" s="473"/>
      <c r="B61" s="439"/>
      <c r="C61" s="439"/>
      <c r="D61" s="136">
        <v>755</v>
      </c>
      <c r="E61" s="264" t="s">
        <v>19</v>
      </c>
      <c r="F61" s="264" t="s">
        <v>53</v>
      </c>
      <c r="G61" s="265" t="s">
        <v>28</v>
      </c>
      <c r="H61" s="266"/>
      <c r="I61" s="266">
        <f>I64</f>
        <v>14000</v>
      </c>
      <c r="J61" s="266">
        <f>J64</f>
        <v>9449.07</v>
      </c>
      <c r="K61" s="149"/>
      <c r="L61" s="149"/>
      <c r="M61" s="149"/>
      <c r="N61" s="149"/>
      <c r="O61" s="149"/>
      <c r="P61" s="480"/>
      <c r="Q61" s="207"/>
      <c r="R61" s="208"/>
      <c r="S61" s="208"/>
      <c r="T61" s="208"/>
      <c r="U61" s="208"/>
      <c r="V61" s="208"/>
    </row>
    <row r="62" spans="1:22" s="218" customFormat="1" ht="42" customHeight="1" thickBot="1" x14ac:dyDescent="0.3">
      <c r="A62" s="473"/>
      <c r="B62" s="440"/>
      <c r="C62" s="440"/>
      <c r="D62" s="222">
        <v>755</v>
      </c>
      <c r="E62" s="225" t="s">
        <v>19</v>
      </c>
      <c r="F62" s="267">
        <v>1110300000</v>
      </c>
      <c r="G62" s="268" t="s">
        <v>28</v>
      </c>
      <c r="H62" s="196"/>
      <c r="I62" s="196"/>
      <c r="J62" s="196"/>
      <c r="K62" s="122">
        <f>K65</f>
        <v>2834.72</v>
      </c>
      <c r="L62" s="122"/>
      <c r="M62" s="122"/>
      <c r="N62" s="122"/>
      <c r="O62" s="122"/>
      <c r="P62" s="448"/>
      <c r="Q62" s="207"/>
      <c r="R62" s="208"/>
      <c r="S62" s="208"/>
      <c r="T62" s="208"/>
      <c r="U62" s="208"/>
      <c r="V62" s="208"/>
    </row>
    <row r="63" spans="1:22" s="218" customFormat="1" ht="63" customHeight="1" x14ac:dyDescent="0.25">
      <c r="A63" s="436" t="s">
        <v>337</v>
      </c>
      <c r="B63" s="481" t="s">
        <v>359</v>
      </c>
      <c r="C63" s="449" t="s">
        <v>22</v>
      </c>
      <c r="D63" s="231">
        <v>755</v>
      </c>
      <c r="E63" s="239" t="s">
        <v>19</v>
      </c>
      <c r="F63" s="239" t="s">
        <v>34</v>
      </c>
      <c r="G63" s="240" t="s">
        <v>40</v>
      </c>
      <c r="H63" s="171">
        <v>9793.76</v>
      </c>
      <c r="I63" s="150"/>
      <c r="J63" s="150"/>
      <c r="K63" s="144"/>
      <c r="L63" s="144"/>
      <c r="M63" s="144"/>
      <c r="N63" s="144"/>
      <c r="O63" s="144"/>
      <c r="P63" s="468">
        <f>SUM(H63:O65)</f>
        <v>36077.550000000003</v>
      </c>
      <c r="Q63" s="207"/>
      <c r="R63" s="208"/>
      <c r="S63" s="208"/>
      <c r="T63" s="208"/>
      <c r="U63" s="208"/>
      <c r="V63" s="208"/>
    </row>
    <row r="64" spans="1:22" s="218" customFormat="1" ht="69" customHeight="1" x14ac:dyDescent="0.25">
      <c r="A64" s="435"/>
      <c r="B64" s="482"/>
      <c r="C64" s="444"/>
      <c r="D64" s="250">
        <v>755</v>
      </c>
      <c r="E64" s="251" t="s">
        <v>19</v>
      </c>
      <c r="F64" s="251" t="s">
        <v>53</v>
      </c>
      <c r="G64" s="252" t="s">
        <v>28</v>
      </c>
      <c r="H64" s="124"/>
      <c r="I64" s="124">
        <v>14000</v>
      </c>
      <c r="J64" s="124">
        <v>9449.07</v>
      </c>
      <c r="K64" s="150"/>
      <c r="L64" s="150"/>
      <c r="M64" s="150"/>
      <c r="N64" s="150"/>
      <c r="O64" s="150"/>
      <c r="P64" s="468"/>
      <c r="Q64" s="207"/>
      <c r="R64" s="208"/>
      <c r="S64" s="208"/>
      <c r="T64" s="208"/>
      <c r="U64" s="208"/>
      <c r="V64" s="208"/>
    </row>
    <row r="65" spans="1:22" s="218" customFormat="1" ht="70.5" customHeight="1" thickBot="1" x14ac:dyDescent="0.3">
      <c r="A65" s="437"/>
      <c r="B65" s="483"/>
      <c r="C65" s="450"/>
      <c r="D65" s="236">
        <v>755</v>
      </c>
      <c r="E65" s="269" t="s">
        <v>19</v>
      </c>
      <c r="F65" s="254">
        <v>1110320580</v>
      </c>
      <c r="G65" s="270" t="s">
        <v>28</v>
      </c>
      <c r="H65" s="188"/>
      <c r="I65" s="188"/>
      <c r="J65" s="188"/>
      <c r="K65" s="142">
        <v>2834.72</v>
      </c>
      <c r="L65" s="142"/>
      <c r="M65" s="142"/>
      <c r="N65" s="142"/>
      <c r="O65" s="142"/>
      <c r="P65" s="475"/>
      <c r="Q65" s="207"/>
      <c r="R65" s="208"/>
      <c r="S65" s="208"/>
      <c r="T65" s="208"/>
      <c r="U65" s="208"/>
      <c r="V65" s="208"/>
    </row>
    <row r="66" spans="1:22" s="223" customFormat="1" ht="21" customHeight="1" thickBot="1" x14ac:dyDescent="0.3">
      <c r="A66" s="441" t="s">
        <v>24</v>
      </c>
      <c r="B66" s="438" t="s">
        <v>272</v>
      </c>
      <c r="C66" s="227" t="s">
        <v>27</v>
      </c>
      <c r="D66" s="271" t="s">
        <v>291</v>
      </c>
      <c r="E66" s="271" t="s">
        <v>291</v>
      </c>
      <c r="F66" s="271" t="s">
        <v>291</v>
      </c>
      <c r="G66" s="271" t="s">
        <v>291</v>
      </c>
      <c r="H66" s="127">
        <f>H72+H74+H93+H95</f>
        <v>108467.24</v>
      </c>
      <c r="I66" s="127">
        <f>I72+I74+I93+I95</f>
        <v>20928.59</v>
      </c>
      <c r="J66" s="127">
        <f>J72+J74+J93+J95</f>
        <v>7827.83</v>
      </c>
      <c r="K66" s="127">
        <f>K71+K92</f>
        <v>0</v>
      </c>
      <c r="L66" s="127">
        <f>L71+L92</f>
        <v>0</v>
      </c>
      <c r="M66" s="127">
        <f>M71+M92</f>
        <v>0</v>
      </c>
      <c r="N66" s="127">
        <f>N71+N92</f>
        <v>0</v>
      </c>
      <c r="O66" s="127">
        <f>O71+O92</f>
        <v>0</v>
      </c>
      <c r="P66" s="127">
        <f>SUM(H66:O66)</f>
        <v>137223.66</v>
      </c>
      <c r="Q66" s="207"/>
      <c r="R66" s="208"/>
      <c r="S66" s="208"/>
      <c r="T66" s="208"/>
      <c r="U66" s="208"/>
      <c r="V66" s="208"/>
    </row>
    <row r="67" spans="1:22" s="223" customFormat="1" ht="42.75" customHeight="1" x14ac:dyDescent="0.25">
      <c r="A67" s="442"/>
      <c r="B67" s="439"/>
      <c r="C67" s="438" t="s">
        <v>22</v>
      </c>
      <c r="D67" s="224" t="s">
        <v>35</v>
      </c>
      <c r="E67" s="224" t="s">
        <v>291</v>
      </c>
      <c r="F67" s="272" t="s">
        <v>291</v>
      </c>
      <c r="G67" s="224" t="s">
        <v>291</v>
      </c>
      <c r="H67" s="145">
        <f>H72+H93</f>
        <v>108467.24</v>
      </c>
      <c r="I67" s="145">
        <f>I72+I93</f>
        <v>18678.89</v>
      </c>
      <c r="J67" s="145">
        <f>J72+J93</f>
        <v>7827.83</v>
      </c>
      <c r="K67" s="145"/>
      <c r="L67" s="145"/>
      <c r="M67" s="145"/>
      <c r="N67" s="145"/>
      <c r="O67" s="145"/>
      <c r="P67" s="447">
        <f>SUM(H67:O68)</f>
        <v>134973.96</v>
      </c>
      <c r="Q67" s="207"/>
      <c r="R67" s="208"/>
      <c r="S67" s="208"/>
      <c r="T67" s="208"/>
      <c r="U67" s="208"/>
      <c r="V67" s="208"/>
    </row>
    <row r="68" spans="1:22" s="223" customFormat="1" ht="44.25" customHeight="1" thickBot="1" x14ac:dyDescent="0.3">
      <c r="A68" s="442"/>
      <c r="B68" s="439"/>
      <c r="C68" s="440"/>
      <c r="D68" s="248">
        <v>755</v>
      </c>
      <c r="E68" s="248" t="s">
        <v>291</v>
      </c>
      <c r="F68" s="249">
        <v>1120000000</v>
      </c>
      <c r="G68" s="248" t="s">
        <v>291</v>
      </c>
      <c r="H68" s="226"/>
      <c r="I68" s="226"/>
      <c r="J68" s="226"/>
      <c r="K68" s="122">
        <f t="shared" ref="K68:O68" si="20">K73+K94</f>
        <v>0</v>
      </c>
      <c r="L68" s="122">
        <f t="shared" si="20"/>
        <v>0</v>
      </c>
      <c r="M68" s="122">
        <f t="shared" si="20"/>
        <v>0</v>
      </c>
      <c r="N68" s="122">
        <f t="shared" si="20"/>
        <v>0</v>
      </c>
      <c r="O68" s="122">
        <f t="shared" si="20"/>
        <v>0</v>
      </c>
      <c r="P68" s="448"/>
      <c r="Q68" s="207"/>
      <c r="R68" s="208"/>
      <c r="S68" s="208"/>
      <c r="T68" s="208"/>
      <c r="U68" s="208"/>
      <c r="V68" s="208"/>
    </row>
    <row r="69" spans="1:22" s="223" customFormat="1" ht="98.25" customHeight="1" thickBot="1" x14ac:dyDescent="0.3">
      <c r="A69" s="442"/>
      <c r="B69" s="439"/>
      <c r="C69" s="273" t="s">
        <v>66</v>
      </c>
      <c r="D69" s="225" t="s">
        <v>33</v>
      </c>
      <c r="E69" s="274" t="s">
        <v>18</v>
      </c>
      <c r="F69" s="222">
        <v>1122217</v>
      </c>
      <c r="G69" s="275" t="s">
        <v>28</v>
      </c>
      <c r="H69" s="151">
        <f>H74</f>
        <v>0</v>
      </c>
      <c r="I69" s="151">
        <f t="shared" ref="I69:O69" si="21">I74</f>
        <v>949.7</v>
      </c>
      <c r="J69" s="151">
        <f t="shared" si="21"/>
        <v>0</v>
      </c>
      <c r="K69" s="151">
        <f t="shared" si="21"/>
        <v>0</v>
      </c>
      <c r="L69" s="151">
        <f t="shared" si="21"/>
        <v>0</v>
      </c>
      <c r="M69" s="151">
        <f t="shared" si="21"/>
        <v>0</v>
      </c>
      <c r="N69" s="151">
        <f t="shared" si="21"/>
        <v>0</v>
      </c>
      <c r="O69" s="151">
        <f t="shared" si="21"/>
        <v>0</v>
      </c>
      <c r="P69" s="127">
        <f t="shared" ref="P69:P70" si="22">SUM(H69:O69)</f>
        <v>949.7</v>
      </c>
      <c r="Q69" s="207"/>
      <c r="R69" s="208"/>
      <c r="S69" s="208"/>
      <c r="T69" s="208"/>
      <c r="U69" s="208"/>
      <c r="V69" s="208"/>
    </row>
    <row r="70" spans="1:22" s="223" customFormat="1" ht="82.5" customHeight="1" thickBot="1" x14ac:dyDescent="0.3">
      <c r="A70" s="443"/>
      <c r="B70" s="439"/>
      <c r="C70" s="276" t="s">
        <v>63</v>
      </c>
      <c r="D70" s="227">
        <v>760</v>
      </c>
      <c r="E70" s="277" t="s">
        <v>64</v>
      </c>
      <c r="F70" s="258">
        <v>1122144</v>
      </c>
      <c r="G70" s="278" t="s">
        <v>65</v>
      </c>
      <c r="H70" s="127">
        <f>H95</f>
        <v>0</v>
      </c>
      <c r="I70" s="127">
        <f t="shared" ref="I70:O70" si="23">I95</f>
        <v>1300</v>
      </c>
      <c r="J70" s="127">
        <f t="shared" si="23"/>
        <v>0</v>
      </c>
      <c r="K70" s="127">
        <f t="shared" si="23"/>
        <v>0</v>
      </c>
      <c r="L70" s="127">
        <f t="shared" si="23"/>
        <v>0</v>
      </c>
      <c r="M70" s="127">
        <f t="shared" si="23"/>
        <v>0</v>
      </c>
      <c r="N70" s="127">
        <f t="shared" si="23"/>
        <v>0</v>
      </c>
      <c r="O70" s="127">
        <f t="shared" si="23"/>
        <v>0</v>
      </c>
      <c r="P70" s="127">
        <f t="shared" si="22"/>
        <v>1300</v>
      </c>
      <c r="Q70" s="207"/>
      <c r="R70" s="208"/>
      <c r="S70" s="208"/>
      <c r="T70" s="208"/>
      <c r="U70" s="208"/>
      <c r="V70" s="208"/>
    </row>
    <row r="71" spans="1:22" s="223" customFormat="1" ht="21" customHeight="1" thickBot="1" x14ac:dyDescent="0.3">
      <c r="A71" s="441" t="s">
        <v>0</v>
      </c>
      <c r="B71" s="438" t="s">
        <v>293</v>
      </c>
      <c r="C71" s="279" t="s">
        <v>27</v>
      </c>
      <c r="D71" s="225" t="s">
        <v>291</v>
      </c>
      <c r="E71" s="225" t="s">
        <v>291</v>
      </c>
      <c r="F71" s="225" t="s">
        <v>291</v>
      </c>
      <c r="G71" s="275" t="s">
        <v>291</v>
      </c>
      <c r="H71" s="196">
        <f t="shared" ref="H71:J71" si="24">H75+SUM(H81:H84)+SUM(H86:H91)+H85</f>
        <v>105467.24</v>
      </c>
      <c r="I71" s="196">
        <f t="shared" si="24"/>
        <v>17228.59</v>
      </c>
      <c r="J71" s="196">
        <f t="shared" si="24"/>
        <v>6172.35</v>
      </c>
      <c r="K71" s="196">
        <f>K75+SUM(K81:K84)+SUM(K86:K91)+K85</f>
        <v>0</v>
      </c>
      <c r="L71" s="196">
        <f t="shared" ref="L71:O71" si="25">L75+SUM(L81:L84)+SUM(L86:L91)+L85</f>
        <v>0</v>
      </c>
      <c r="M71" s="196">
        <f t="shared" si="25"/>
        <v>0</v>
      </c>
      <c r="N71" s="196">
        <f t="shared" si="25"/>
        <v>0</v>
      </c>
      <c r="O71" s="196">
        <f t="shared" si="25"/>
        <v>0</v>
      </c>
      <c r="P71" s="196">
        <f>SUM(H71:O71)</f>
        <v>128868.18</v>
      </c>
      <c r="Q71" s="207"/>
      <c r="R71" s="208"/>
      <c r="S71" s="208"/>
      <c r="T71" s="208"/>
      <c r="U71" s="208"/>
      <c r="V71" s="208"/>
    </row>
    <row r="72" spans="1:22" s="223" customFormat="1" ht="55.5" customHeight="1" x14ac:dyDescent="0.25">
      <c r="A72" s="442"/>
      <c r="B72" s="439"/>
      <c r="C72" s="438" t="s">
        <v>22</v>
      </c>
      <c r="D72" s="271" t="s">
        <v>35</v>
      </c>
      <c r="E72" s="280" t="s">
        <v>19</v>
      </c>
      <c r="F72" s="272" t="s">
        <v>291</v>
      </c>
      <c r="G72" s="224" t="s">
        <v>291</v>
      </c>
      <c r="H72" s="145">
        <f>H75+SUM(H81:H84)+SUM(H86:H91)</f>
        <v>105467.24</v>
      </c>
      <c r="I72" s="145">
        <f>I75+SUM(I81:I84)+SUM(I86:I91)</f>
        <v>16278.89</v>
      </c>
      <c r="J72" s="145">
        <f>J75+SUM(J81:J84)+SUM(J86:J91)</f>
        <v>6172.35</v>
      </c>
      <c r="K72" s="145"/>
      <c r="L72" s="145"/>
      <c r="M72" s="145"/>
      <c r="N72" s="145"/>
      <c r="O72" s="145"/>
      <c r="P72" s="447">
        <f>SUM(H72:O73)</f>
        <v>127918.48</v>
      </c>
      <c r="Q72" s="207"/>
      <c r="R72" s="208"/>
      <c r="S72" s="208"/>
      <c r="T72" s="208"/>
      <c r="U72" s="208"/>
      <c r="V72" s="208"/>
    </row>
    <row r="73" spans="1:22" s="223" customFormat="1" ht="56.25" customHeight="1" thickBot="1" x14ac:dyDescent="0.3">
      <c r="A73" s="442"/>
      <c r="B73" s="439"/>
      <c r="C73" s="440"/>
      <c r="D73" s="281">
        <v>755</v>
      </c>
      <c r="E73" s="281" t="s">
        <v>19</v>
      </c>
      <c r="F73" s="249">
        <v>1120100000</v>
      </c>
      <c r="G73" s="249" t="s">
        <v>291</v>
      </c>
      <c r="H73" s="226"/>
      <c r="I73" s="226"/>
      <c r="J73" s="226"/>
      <c r="K73" s="122">
        <f t="shared" ref="K73:O73" si="26">K75+SUM(K81:K84)+SUM(K86:K91)</f>
        <v>0</v>
      </c>
      <c r="L73" s="122">
        <f t="shared" si="26"/>
        <v>0</v>
      </c>
      <c r="M73" s="122">
        <f t="shared" si="26"/>
        <v>0</v>
      </c>
      <c r="N73" s="122">
        <f t="shared" si="26"/>
        <v>0</v>
      </c>
      <c r="O73" s="122">
        <f t="shared" si="26"/>
        <v>0</v>
      </c>
      <c r="P73" s="448"/>
      <c r="Q73" s="207"/>
      <c r="R73" s="208"/>
      <c r="S73" s="208"/>
      <c r="T73" s="208"/>
      <c r="U73" s="208"/>
      <c r="V73" s="208"/>
    </row>
    <row r="74" spans="1:22" s="223" customFormat="1" ht="95.25" customHeight="1" thickBot="1" x14ac:dyDescent="0.3">
      <c r="A74" s="443"/>
      <c r="B74" s="440"/>
      <c r="C74" s="276" t="s">
        <v>66</v>
      </c>
      <c r="D74" s="227">
        <v>779</v>
      </c>
      <c r="E74" s="277" t="s">
        <v>18</v>
      </c>
      <c r="F74" s="222" t="s">
        <v>291</v>
      </c>
      <c r="G74" s="225" t="s">
        <v>291</v>
      </c>
      <c r="H74" s="127"/>
      <c r="I74" s="127">
        <f t="shared" ref="I74:J74" si="27">I85</f>
        <v>949.7</v>
      </c>
      <c r="J74" s="127">
        <f t="shared" si="27"/>
        <v>0</v>
      </c>
      <c r="K74" s="127"/>
      <c r="L74" s="127"/>
      <c r="M74" s="127"/>
      <c r="N74" s="127"/>
      <c r="O74" s="127"/>
      <c r="P74" s="127">
        <f>SUM(H74:O74)</f>
        <v>949.7</v>
      </c>
      <c r="Q74" s="207"/>
      <c r="R74" s="208"/>
      <c r="S74" s="208"/>
      <c r="T74" s="208"/>
      <c r="U74" s="208"/>
      <c r="V74" s="208"/>
    </row>
    <row r="75" spans="1:22" s="218" customFormat="1" ht="139.5" customHeight="1" thickBot="1" x14ac:dyDescent="0.3">
      <c r="A75" s="227" t="s">
        <v>180</v>
      </c>
      <c r="B75" s="282" t="s">
        <v>58</v>
      </c>
      <c r="C75" s="175" t="s">
        <v>22</v>
      </c>
      <c r="D75" s="283">
        <v>755</v>
      </c>
      <c r="E75" s="269" t="s">
        <v>19</v>
      </c>
      <c r="F75" s="284" t="s">
        <v>291</v>
      </c>
      <c r="G75" s="269" t="s">
        <v>291</v>
      </c>
      <c r="H75" s="152">
        <f>SUM(H76:H80)</f>
        <v>75867.240000000005</v>
      </c>
      <c r="I75" s="152">
        <f t="shared" ref="I75:O75" si="28">SUM(I76:I80)</f>
        <v>9308.89</v>
      </c>
      <c r="J75" s="152">
        <f t="shared" si="28"/>
        <v>4418.91</v>
      </c>
      <c r="K75" s="152">
        <f t="shared" si="28"/>
        <v>0</v>
      </c>
      <c r="L75" s="152">
        <f t="shared" si="28"/>
        <v>0</v>
      </c>
      <c r="M75" s="152">
        <f t="shared" si="28"/>
        <v>0</v>
      </c>
      <c r="N75" s="152">
        <f t="shared" si="28"/>
        <v>0</v>
      </c>
      <c r="O75" s="152">
        <f t="shared" si="28"/>
        <v>0</v>
      </c>
      <c r="P75" s="152">
        <f>SUM(H75:O75)</f>
        <v>89595.04</v>
      </c>
      <c r="Q75" s="207"/>
      <c r="R75" s="208"/>
      <c r="S75" s="208"/>
      <c r="T75" s="208"/>
      <c r="U75" s="208"/>
      <c r="V75" s="208"/>
    </row>
    <row r="76" spans="1:22" s="218" customFormat="1" ht="40.5" customHeight="1" x14ac:dyDescent="0.25">
      <c r="A76" s="478" t="s">
        <v>198</v>
      </c>
      <c r="B76" s="444" t="s">
        <v>58</v>
      </c>
      <c r="C76" s="444" t="s">
        <v>22</v>
      </c>
      <c r="D76" s="285">
        <v>755</v>
      </c>
      <c r="E76" s="286" t="s">
        <v>19</v>
      </c>
      <c r="F76" s="238">
        <v>5221020</v>
      </c>
      <c r="G76" s="287" t="s">
        <v>40</v>
      </c>
      <c r="H76" s="171">
        <v>75867.240000000005</v>
      </c>
      <c r="I76" s="143"/>
      <c r="J76" s="143"/>
      <c r="K76" s="143"/>
      <c r="L76" s="143"/>
      <c r="M76" s="143"/>
      <c r="N76" s="143"/>
      <c r="O76" s="143"/>
      <c r="P76" s="468">
        <f>SUM(H76:O78)</f>
        <v>88753.72</v>
      </c>
      <c r="Q76" s="207"/>
      <c r="R76" s="208"/>
      <c r="S76" s="208"/>
      <c r="T76" s="208"/>
      <c r="U76" s="208"/>
      <c r="V76" s="208"/>
    </row>
    <row r="77" spans="1:22" s="218" customFormat="1" ht="42.75" customHeight="1" x14ac:dyDescent="0.25">
      <c r="A77" s="478"/>
      <c r="B77" s="444"/>
      <c r="C77" s="444"/>
      <c r="D77" s="288">
        <v>755</v>
      </c>
      <c r="E77" s="289" t="s">
        <v>19</v>
      </c>
      <c r="F77" s="250">
        <v>1122146</v>
      </c>
      <c r="G77" s="290" t="s">
        <v>28</v>
      </c>
      <c r="H77" s="124"/>
      <c r="I77" s="124">
        <f>9000-691.11+1450-450</f>
        <v>9308.89</v>
      </c>
      <c r="J77" s="124">
        <f>2232.38+2186.53208-841.32272</f>
        <v>3577.59</v>
      </c>
      <c r="K77" s="146"/>
      <c r="L77" s="146"/>
      <c r="M77" s="146"/>
      <c r="N77" s="146"/>
      <c r="O77" s="146"/>
      <c r="P77" s="468"/>
      <c r="Q77" s="207"/>
      <c r="R77" s="208"/>
      <c r="S77" s="208"/>
      <c r="T77" s="208"/>
      <c r="U77" s="208"/>
      <c r="V77" s="208"/>
    </row>
    <row r="78" spans="1:22" s="218" customFormat="1" ht="41.25" customHeight="1" thickBot="1" x14ac:dyDescent="0.3">
      <c r="A78" s="479"/>
      <c r="B78" s="444"/>
      <c r="C78" s="444"/>
      <c r="D78" s="291">
        <v>755</v>
      </c>
      <c r="E78" s="292" t="s">
        <v>19</v>
      </c>
      <c r="F78" s="241">
        <v>1120121460</v>
      </c>
      <c r="G78" s="293" t="s">
        <v>28</v>
      </c>
      <c r="H78" s="131"/>
      <c r="I78" s="131"/>
      <c r="J78" s="131"/>
      <c r="K78" s="131">
        <v>0</v>
      </c>
      <c r="L78" s="131">
        <v>0</v>
      </c>
      <c r="M78" s="131">
        <v>0</v>
      </c>
      <c r="N78" s="131">
        <v>0</v>
      </c>
      <c r="O78" s="131">
        <v>0</v>
      </c>
      <c r="P78" s="468"/>
      <c r="Q78" s="207"/>
      <c r="R78" s="208"/>
      <c r="S78" s="208"/>
      <c r="T78" s="208"/>
      <c r="U78" s="208"/>
      <c r="V78" s="208"/>
    </row>
    <row r="79" spans="1:22" s="218" customFormat="1" ht="33" customHeight="1" x14ac:dyDescent="0.25">
      <c r="A79" s="441" t="s">
        <v>199</v>
      </c>
      <c r="B79" s="449" t="s">
        <v>182</v>
      </c>
      <c r="C79" s="449" t="s">
        <v>22</v>
      </c>
      <c r="D79" s="294">
        <v>755</v>
      </c>
      <c r="E79" s="295" t="s">
        <v>19</v>
      </c>
      <c r="F79" s="231">
        <v>1122146</v>
      </c>
      <c r="G79" s="232" t="s">
        <v>28</v>
      </c>
      <c r="H79" s="233"/>
      <c r="I79" s="233">
        <v>0</v>
      </c>
      <c r="J79" s="233">
        <v>841.32</v>
      </c>
      <c r="K79" s="144"/>
      <c r="L79" s="144"/>
      <c r="M79" s="144"/>
      <c r="N79" s="144"/>
      <c r="O79" s="144"/>
      <c r="P79" s="474">
        <f>SUM(H79:O80)</f>
        <v>841.32</v>
      </c>
      <c r="Q79" s="207"/>
      <c r="R79" s="208"/>
      <c r="S79" s="208"/>
      <c r="T79" s="208"/>
      <c r="U79" s="208"/>
      <c r="V79" s="208"/>
    </row>
    <row r="80" spans="1:22" s="218" customFormat="1" ht="38.25" customHeight="1" thickBot="1" x14ac:dyDescent="0.3">
      <c r="A80" s="443"/>
      <c r="B80" s="450"/>
      <c r="C80" s="450"/>
      <c r="D80" s="254">
        <v>755</v>
      </c>
      <c r="E80" s="296" t="s">
        <v>19</v>
      </c>
      <c r="F80" s="236">
        <v>1120121460</v>
      </c>
      <c r="G80" s="237" t="s">
        <v>28</v>
      </c>
      <c r="H80" s="142"/>
      <c r="I80" s="142"/>
      <c r="J80" s="142"/>
      <c r="K80" s="142">
        <v>0</v>
      </c>
      <c r="L80" s="142">
        <v>0</v>
      </c>
      <c r="M80" s="142">
        <v>0</v>
      </c>
      <c r="N80" s="142">
        <v>0</v>
      </c>
      <c r="O80" s="142">
        <v>0</v>
      </c>
      <c r="P80" s="475"/>
      <c r="Q80" s="207"/>
      <c r="R80" s="208"/>
      <c r="S80" s="208"/>
      <c r="T80" s="208"/>
      <c r="U80" s="208"/>
      <c r="V80" s="208"/>
    </row>
    <row r="81" spans="1:22" s="218" customFormat="1" ht="35.1" customHeight="1" x14ac:dyDescent="0.25">
      <c r="A81" s="441" t="s">
        <v>181</v>
      </c>
      <c r="B81" s="449" t="s">
        <v>59</v>
      </c>
      <c r="C81" s="449" t="s">
        <v>22</v>
      </c>
      <c r="D81" s="294">
        <v>755</v>
      </c>
      <c r="E81" s="295" t="s">
        <v>19</v>
      </c>
      <c r="F81" s="231">
        <v>5221020</v>
      </c>
      <c r="G81" s="232" t="s">
        <v>40</v>
      </c>
      <c r="H81" s="297">
        <v>0</v>
      </c>
      <c r="I81" s="155"/>
      <c r="J81" s="155"/>
      <c r="K81" s="153"/>
      <c r="L81" s="153"/>
      <c r="M81" s="153"/>
      <c r="N81" s="153"/>
      <c r="O81" s="153"/>
      <c r="P81" s="474">
        <f>SUM(H81:O84)</f>
        <v>500</v>
      </c>
      <c r="Q81" s="207"/>
      <c r="R81" s="208"/>
      <c r="S81" s="208"/>
      <c r="T81" s="208"/>
      <c r="U81" s="208"/>
      <c r="V81" s="208"/>
    </row>
    <row r="82" spans="1:22" s="300" customFormat="1" ht="35.1" customHeight="1" x14ac:dyDescent="0.25">
      <c r="A82" s="442"/>
      <c r="B82" s="444"/>
      <c r="C82" s="444"/>
      <c r="D82" s="288">
        <v>755</v>
      </c>
      <c r="E82" s="289" t="s">
        <v>19</v>
      </c>
      <c r="F82" s="250">
        <v>1122217</v>
      </c>
      <c r="G82" s="290" t="s">
        <v>28</v>
      </c>
      <c r="H82" s="161"/>
      <c r="I82" s="161">
        <f>10000-9500</f>
        <v>500</v>
      </c>
      <c r="J82" s="132">
        <v>0</v>
      </c>
      <c r="K82" s="132"/>
      <c r="L82" s="132"/>
      <c r="M82" s="132"/>
      <c r="N82" s="132"/>
      <c r="O82" s="132"/>
      <c r="P82" s="468"/>
      <c r="Q82" s="298"/>
      <c r="R82" s="299"/>
      <c r="S82" s="299"/>
      <c r="T82" s="299"/>
      <c r="U82" s="299"/>
      <c r="V82" s="299"/>
    </row>
    <row r="83" spans="1:22" s="300" customFormat="1" ht="35.1" customHeight="1" x14ac:dyDescent="0.25">
      <c r="A83" s="442"/>
      <c r="B83" s="444"/>
      <c r="C83" s="444"/>
      <c r="D83" s="288">
        <v>755</v>
      </c>
      <c r="E83" s="289" t="s">
        <v>19</v>
      </c>
      <c r="F83" s="250">
        <v>1122234</v>
      </c>
      <c r="G83" s="290" t="s">
        <v>28</v>
      </c>
      <c r="H83" s="124"/>
      <c r="I83" s="124">
        <v>0</v>
      </c>
      <c r="J83" s="124">
        <f>15000-15000</f>
        <v>0</v>
      </c>
      <c r="K83" s="154"/>
      <c r="L83" s="154"/>
      <c r="M83" s="154"/>
      <c r="N83" s="154"/>
      <c r="O83" s="154"/>
      <c r="P83" s="468"/>
      <c r="Q83" s="298"/>
      <c r="R83" s="299"/>
      <c r="S83" s="299"/>
      <c r="T83" s="299"/>
      <c r="U83" s="299"/>
      <c r="V83" s="299"/>
    </row>
    <row r="84" spans="1:22" s="300" customFormat="1" ht="35.1" customHeight="1" thickBot="1" x14ac:dyDescent="0.3">
      <c r="A84" s="442"/>
      <c r="B84" s="444"/>
      <c r="C84" s="444"/>
      <c r="D84" s="291">
        <v>755</v>
      </c>
      <c r="E84" s="292" t="s">
        <v>19</v>
      </c>
      <c r="F84" s="241">
        <v>1120122170</v>
      </c>
      <c r="G84" s="293" t="s">
        <v>28</v>
      </c>
      <c r="H84" s="301"/>
      <c r="I84" s="301"/>
      <c r="J84" s="129"/>
      <c r="K84" s="131">
        <v>0</v>
      </c>
      <c r="L84" s="131">
        <v>0</v>
      </c>
      <c r="M84" s="131">
        <v>0</v>
      </c>
      <c r="N84" s="131">
        <v>0</v>
      </c>
      <c r="O84" s="131">
        <v>0</v>
      </c>
      <c r="P84" s="468"/>
      <c r="Q84" s="298"/>
      <c r="R84" s="299"/>
      <c r="S84" s="299"/>
      <c r="T84" s="299"/>
      <c r="U84" s="299"/>
      <c r="V84" s="299"/>
    </row>
    <row r="85" spans="1:22" s="300" customFormat="1" ht="90.75" customHeight="1" thickBot="1" x14ac:dyDescent="0.3">
      <c r="A85" s="443"/>
      <c r="B85" s="450"/>
      <c r="C85" s="175" t="s">
        <v>66</v>
      </c>
      <c r="D85" s="302">
        <v>779</v>
      </c>
      <c r="E85" s="303" t="s">
        <v>18</v>
      </c>
      <c r="F85" s="228">
        <v>1122217</v>
      </c>
      <c r="G85" s="229" t="s">
        <v>28</v>
      </c>
      <c r="H85" s="125"/>
      <c r="I85" s="125">
        <f>5000-4050.3</f>
        <v>949.7</v>
      </c>
      <c r="J85" s="125">
        <v>0</v>
      </c>
      <c r="K85" s="125"/>
      <c r="L85" s="125"/>
      <c r="M85" s="125"/>
      <c r="N85" s="125"/>
      <c r="O85" s="125"/>
      <c r="P85" s="125">
        <f>SUM(H85:N85)</f>
        <v>949.7</v>
      </c>
      <c r="Q85" s="298"/>
      <c r="R85" s="299"/>
      <c r="S85" s="299"/>
      <c r="T85" s="299"/>
      <c r="U85" s="299"/>
      <c r="V85" s="299"/>
    </row>
    <row r="86" spans="1:22" s="218" customFormat="1" ht="35.1" customHeight="1" x14ac:dyDescent="0.25">
      <c r="A86" s="441" t="s">
        <v>200</v>
      </c>
      <c r="B86" s="449" t="s">
        <v>60</v>
      </c>
      <c r="C86" s="449" t="s">
        <v>22</v>
      </c>
      <c r="D86" s="294">
        <v>755</v>
      </c>
      <c r="E86" s="295" t="s">
        <v>19</v>
      </c>
      <c r="F86" s="231">
        <v>5221020</v>
      </c>
      <c r="G86" s="232" t="s">
        <v>40</v>
      </c>
      <c r="H86" s="153">
        <v>28300</v>
      </c>
      <c r="I86" s="155"/>
      <c r="J86" s="155"/>
      <c r="K86" s="155"/>
      <c r="L86" s="155"/>
      <c r="M86" s="155"/>
      <c r="N86" s="155"/>
      <c r="O86" s="155"/>
      <c r="P86" s="474">
        <f>SUM(H86:O88)</f>
        <v>32398.39</v>
      </c>
      <c r="Q86" s="207"/>
      <c r="R86" s="208"/>
      <c r="S86" s="208"/>
      <c r="T86" s="208"/>
      <c r="U86" s="208"/>
      <c r="V86" s="208"/>
    </row>
    <row r="87" spans="1:22" s="218" customFormat="1" ht="35.1" customHeight="1" x14ac:dyDescent="0.25">
      <c r="A87" s="442"/>
      <c r="B87" s="444"/>
      <c r="C87" s="444"/>
      <c r="D87" s="288">
        <v>755</v>
      </c>
      <c r="E87" s="289" t="s">
        <v>19</v>
      </c>
      <c r="F87" s="250">
        <v>1122146</v>
      </c>
      <c r="G87" s="290" t="s">
        <v>28</v>
      </c>
      <c r="H87" s="132"/>
      <c r="I87" s="132">
        <v>3470</v>
      </c>
      <c r="J87" s="132">
        <f>171.45+456.9356</f>
        <v>628.39</v>
      </c>
      <c r="K87" s="132"/>
      <c r="L87" s="132"/>
      <c r="M87" s="132"/>
      <c r="N87" s="132"/>
      <c r="O87" s="132"/>
      <c r="P87" s="468"/>
      <c r="Q87" s="207"/>
      <c r="R87" s="208"/>
      <c r="S87" s="208"/>
      <c r="T87" s="208"/>
      <c r="U87" s="208"/>
      <c r="V87" s="208"/>
    </row>
    <row r="88" spans="1:22" s="218" customFormat="1" ht="35.1" customHeight="1" thickBot="1" x14ac:dyDescent="0.3">
      <c r="A88" s="443"/>
      <c r="B88" s="450"/>
      <c r="C88" s="450"/>
      <c r="D88" s="254">
        <v>755</v>
      </c>
      <c r="E88" s="296" t="s">
        <v>19</v>
      </c>
      <c r="F88" s="236">
        <v>1120121460</v>
      </c>
      <c r="G88" s="237" t="s">
        <v>28</v>
      </c>
      <c r="H88" s="130"/>
      <c r="I88" s="130"/>
      <c r="J88" s="130"/>
      <c r="K88" s="130">
        <v>0</v>
      </c>
      <c r="L88" s="130">
        <v>0</v>
      </c>
      <c r="M88" s="130">
        <v>0</v>
      </c>
      <c r="N88" s="130">
        <v>0</v>
      </c>
      <c r="O88" s="130">
        <v>0</v>
      </c>
      <c r="P88" s="475"/>
      <c r="Q88" s="207"/>
      <c r="R88" s="208"/>
      <c r="S88" s="208"/>
      <c r="T88" s="208"/>
      <c r="U88" s="208"/>
      <c r="V88" s="208"/>
    </row>
    <row r="89" spans="1:22" s="218" customFormat="1" ht="27" customHeight="1" x14ac:dyDescent="0.25">
      <c r="A89" s="441" t="s">
        <v>201</v>
      </c>
      <c r="B89" s="449" t="s">
        <v>356</v>
      </c>
      <c r="C89" s="449" t="s">
        <v>22</v>
      </c>
      <c r="D89" s="294">
        <v>755</v>
      </c>
      <c r="E89" s="295" t="s">
        <v>19</v>
      </c>
      <c r="F89" s="231">
        <v>5221020</v>
      </c>
      <c r="G89" s="230" t="s">
        <v>40</v>
      </c>
      <c r="H89" s="153">
        <v>1300</v>
      </c>
      <c r="I89" s="155"/>
      <c r="J89" s="155"/>
      <c r="K89" s="155"/>
      <c r="L89" s="155"/>
      <c r="M89" s="155"/>
      <c r="N89" s="155"/>
      <c r="O89" s="155"/>
      <c r="P89" s="474">
        <f>SUM(H89:O91)</f>
        <v>5425.05</v>
      </c>
      <c r="Q89" s="207"/>
      <c r="R89" s="208"/>
      <c r="S89" s="208"/>
      <c r="T89" s="208"/>
      <c r="U89" s="208"/>
      <c r="V89" s="208"/>
    </row>
    <row r="90" spans="1:22" s="218" customFormat="1" ht="39" customHeight="1" x14ac:dyDescent="0.25">
      <c r="A90" s="442"/>
      <c r="B90" s="444"/>
      <c r="C90" s="444"/>
      <c r="D90" s="288">
        <v>755</v>
      </c>
      <c r="E90" s="289" t="s">
        <v>19</v>
      </c>
      <c r="F90" s="250">
        <v>1122146</v>
      </c>
      <c r="G90" s="251" t="s">
        <v>28</v>
      </c>
      <c r="H90" s="132"/>
      <c r="I90" s="132">
        <f>1000+2000</f>
        <v>3000</v>
      </c>
      <c r="J90" s="132">
        <f>200+925.05</f>
        <v>1125.05</v>
      </c>
      <c r="K90" s="132"/>
      <c r="L90" s="132"/>
      <c r="M90" s="132"/>
      <c r="N90" s="132"/>
      <c r="O90" s="132"/>
      <c r="P90" s="468"/>
      <c r="Q90" s="207"/>
      <c r="R90" s="208"/>
      <c r="S90" s="208"/>
      <c r="T90" s="208"/>
      <c r="U90" s="208"/>
      <c r="V90" s="208"/>
    </row>
    <row r="91" spans="1:22" s="218" customFormat="1" ht="39.75" customHeight="1" thickBot="1" x14ac:dyDescent="0.3">
      <c r="A91" s="442"/>
      <c r="B91" s="450"/>
      <c r="C91" s="450"/>
      <c r="D91" s="254">
        <v>755</v>
      </c>
      <c r="E91" s="296" t="s">
        <v>19</v>
      </c>
      <c r="F91" s="236">
        <v>1120121460</v>
      </c>
      <c r="G91" s="245" t="s">
        <v>28</v>
      </c>
      <c r="H91" s="130"/>
      <c r="I91" s="130"/>
      <c r="J91" s="130"/>
      <c r="K91" s="130">
        <v>0</v>
      </c>
      <c r="L91" s="130">
        <v>0</v>
      </c>
      <c r="M91" s="130">
        <v>0</v>
      </c>
      <c r="N91" s="130">
        <v>0</v>
      </c>
      <c r="O91" s="130">
        <v>0</v>
      </c>
      <c r="P91" s="475"/>
      <c r="Q91" s="207"/>
      <c r="R91" s="208"/>
      <c r="S91" s="208"/>
      <c r="T91" s="208"/>
      <c r="U91" s="208"/>
      <c r="V91" s="208"/>
    </row>
    <row r="92" spans="1:22" s="223" customFormat="1" ht="45" customHeight="1" thickBot="1" x14ac:dyDescent="0.3">
      <c r="A92" s="441" t="s">
        <v>1</v>
      </c>
      <c r="B92" s="438" t="s">
        <v>292</v>
      </c>
      <c r="C92" s="227" t="s">
        <v>27</v>
      </c>
      <c r="D92" s="177" t="s">
        <v>291</v>
      </c>
      <c r="E92" s="177" t="s">
        <v>291</v>
      </c>
      <c r="F92" s="177" t="s">
        <v>291</v>
      </c>
      <c r="G92" s="278" t="s">
        <v>291</v>
      </c>
      <c r="H92" s="127">
        <f>SUM(H93:H95)</f>
        <v>3000</v>
      </c>
      <c r="I92" s="127">
        <f t="shared" ref="I92:J92" si="29">SUM(I93:I95)</f>
        <v>3700</v>
      </c>
      <c r="J92" s="127">
        <f t="shared" si="29"/>
        <v>1655.48</v>
      </c>
      <c r="K92" s="127">
        <f>K98+K99</f>
        <v>0</v>
      </c>
      <c r="L92" s="127">
        <f>L98+L99</f>
        <v>0</v>
      </c>
      <c r="M92" s="127">
        <f>M98+M99</f>
        <v>0</v>
      </c>
      <c r="N92" s="127">
        <f>N98+N99</f>
        <v>0</v>
      </c>
      <c r="O92" s="127">
        <f>O98+O99</f>
        <v>0</v>
      </c>
      <c r="P92" s="127">
        <f>SUM(H92:O92)</f>
        <v>8355.48</v>
      </c>
      <c r="Q92" s="207"/>
      <c r="R92" s="208"/>
      <c r="S92" s="208"/>
      <c r="T92" s="208"/>
      <c r="U92" s="208"/>
      <c r="V92" s="208"/>
    </row>
    <row r="93" spans="1:22" s="223" customFormat="1" ht="45" customHeight="1" x14ac:dyDescent="0.25">
      <c r="A93" s="442"/>
      <c r="B93" s="439"/>
      <c r="C93" s="476" t="s">
        <v>22</v>
      </c>
      <c r="D93" s="304">
        <v>755</v>
      </c>
      <c r="E93" s="280" t="s">
        <v>19</v>
      </c>
      <c r="F93" s="304" t="s">
        <v>291</v>
      </c>
      <c r="G93" s="305" t="s">
        <v>291</v>
      </c>
      <c r="H93" s="306">
        <f>SUM(H96:H98)</f>
        <v>3000</v>
      </c>
      <c r="I93" s="306">
        <f>SUM(I96:I98)</f>
        <v>2400</v>
      </c>
      <c r="J93" s="306">
        <f>SUM(J96:J98)</f>
        <v>1655.48</v>
      </c>
      <c r="K93" s="145"/>
      <c r="L93" s="145"/>
      <c r="M93" s="145"/>
      <c r="N93" s="145"/>
      <c r="O93" s="145"/>
      <c r="P93" s="447">
        <f>SUM(H93:O94)</f>
        <v>7055.48</v>
      </c>
      <c r="Q93" s="207"/>
      <c r="R93" s="208"/>
      <c r="S93" s="208"/>
      <c r="T93" s="208"/>
      <c r="U93" s="208"/>
      <c r="V93" s="208"/>
    </row>
    <row r="94" spans="1:22" s="223" customFormat="1" ht="45" customHeight="1" thickBot="1" x14ac:dyDescent="0.3">
      <c r="A94" s="442"/>
      <c r="B94" s="439"/>
      <c r="C94" s="477"/>
      <c r="D94" s="267">
        <v>755</v>
      </c>
      <c r="E94" s="281" t="s">
        <v>19</v>
      </c>
      <c r="F94" s="249">
        <v>1120200000</v>
      </c>
      <c r="G94" s="248" t="s">
        <v>291</v>
      </c>
      <c r="H94" s="226"/>
      <c r="I94" s="226"/>
      <c r="J94" s="226"/>
      <c r="K94" s="156">
        <f>K98</f>
        <v>0</v>
      </c>
      <c r="L94" s="156">
        <f t="shared" ref="L94:N94" si="30">L98</f>
        <v>0</v>
      </c>
      <c r="M94" s="156">
        <f t="shared" si="30"/>
        <v>0</v>
      </c>
      <c r="N94" s="156">
        <f t="shared" si="30"/>
        <v>0</v>
      </c>
      <c r="O94" s="156">
        <f>O98</f>
        <v>0</v>
      </c>
      <c r="P94" s="448"/>
      <c r="Q94" s="207"/>
      <c r="R94" s="208"/>
      <c r="S94" s="208"/>
      <c r="T94" s="208"/>
      <c r="U94" s="208"/>
      <c r="V94" s="208"/>
    </row>
    <row r="95" spans="1:22" s="223" customFormat="1" ht="74.25" customHeight="1" thickBot="1" x14ac:dyDescent="0.3">
      <c r="A95" s="443"/>
      <c r="B95" s="440"/>
      <c r="C95" s="276" t="s">
        <v>63</v>
      </c>
      <c r="D95" s="227">
        <v>760</v>
      </c>
      <c r="E95" s="277" t="s">
        <v>64</v>
      </c>
      <c r="F95" s="258">
        <v>1122144</v>
      </c>
      <c r="G95" s="278" t="s">
        <v>65</v>
      </c>
      <c r="H95" s="157"/>
      <c r="I95" s="247">
        <f>I99</f>
        <v>1300</v>
      </c>
      <c r="J95" s="247"/>
      <c r="K95" s="157"/>
      <c r="L95" s="157"/>
      <c r="M95" s="157"/>
      <c r="N95" s="157"/>
      <c r="O95" s="157"/>
      <c r="P95" s="127">
        <f>SUM(H95:O95)</f>
        <v>1300</v>
      </c>
      <c r="Q95" s="207"/>
      <c r="R95" s="208"/>
      <c r="S95" s="208"/>
      <c r="T95" s="208"/>
      <c r="U95" s="208"/>
      <c r="V95" s="208"/>
    </row>
    <row r="96" spans="1:22" s="218" customFormat="1" ht="45" customHeight="1" x14ac:dyDescent="0.25">
      <c r="A96" s="442" t="s">
        <v>202</v>
      </c>
      <c r="B96" s="449" t="s">
        <v>61</v>
      </c>
      <c r="C96" s="444" t="s">
        <v>22</v>
      </c>
      <c r="D96" s="285">
        <v>755</v>
      </c>
      <c r="E96" s="286" t="s">
        <v>19</v>
      </c>
      <c r="F96" s="285">
        <v>5221020</v>
      </c>
      <c r="G96" s="287" t="s">
        <v>40</v>
      </c>
      <c r="H96" s="307">
        <v>3000</v>
      </c>
      <c r="I96" s="158"/>
      <c r="J96" s="158"/>
      <c r="K96" s="158"/>
      <c r="L96" s="158"/>
      <c r="M96" s="158"/>
      <c r="N96" s="158"/>
      <c r="O96" s="158"/>
      <c r="P96" s="474">
        <f>SUM(H96:L97)</f>
        <v>7055.48</v>
      </c>
      <c r="Q96" s="207"/>
      <c r="R96" s="208"/>
      <c r="S96" s="208"/>
      <c r="T96" s="208"/>
      <c r="U96" s="208"/>
      <c r="V96" s="208"/>
    </row>
    <row r="97" spans="1:22" s="218" customFormat="1" ht="45" customHeight="1" x14ac:dyDescent="0.25">
      <c r="A97" s="442"/>
      <c r="B97" s="444"/>
      <c r="C97" s="444"/>
      <c r="D97" s="288">
        <v>755</v>
      </c>
      <c r="E97" s="289" t="s">
        <v>19</v>
      </c>
      <c r="F97" s="288">
        <v>1122144</v>
      </c>
      <c r="G97" s="308">
        <v>244</v>
      </c>
      <c r="H97" s="132"/>
      <c r="I97" s="132">
        <f>3300-900</f>
        <v>2400</v>
      </c>
      <c r="J97" s="132">
        <v>1655.48</v>
      </c>
      <c r="K97" s="132"/>
      <c r="L97" s="132"/>
      <c r="M97" s="132"/>
      <c r="N97" s="132"/>
      <c r="O97" s="132"/>
      <c r="P97" s="468"/>
      <c r="Q97" s="207"/>
      <c r="R97" s="208"/>
      <c r="S97" s="208"/>
      <c r="T97" s="208"/>
      <c r="U97" s="208"/>
      <c r="V97" s="208"/>
    </row>
    <row r="98" spans="1:22" s="218" customFormat="1" ht="45" customHeight="1" thickBot="1" x14ac:dyDescent="0.3">
      <c r="A98" s="443"/>
      <c r="B98" s="450"/>
      <c r="C98" s="450"/>
      <c r="D98" s="254">
        <v>755</v>
      </c>
      <c r="E98" s="296" t="s">
        <v>19</v>
      </c>
      <c r="F98" s="254">
        <v>1120221440</v>
      </c>
      <c r="G98" s="309">
        <v>244</v>
      </c>
      <c r="H98" s="130"/>
      <c r="I98" s="130"/>
      <c r="J98" s="130"/>
      <c r="K98" s="130">
        <v>0</v>
      </c>
      <c r="L98" s="130">
        <v>0</v>
      </c>
      <c r="M98" s="130">
        <v>0</v>
      </c>
      <c r="N98" s="130">
        <v>0</v>
      </c>
      <c r="O98" s="130">
        <v>0</v>
      </c>
      <c r="P98" s="475"/>
      <c r="Q98" s="207"/>
      <c r="R98" s="208"/>
      <c r="S98" s="208"/>
      <c r="T98" s="208"/>
      <c r="U98" s="208"/>
      <c r="V98" s="208"/>
    </row>
    <row r="99" spans="1:22" s="218" customFormat="1" ht="186" customHeight="1" thickBot="1" x14ac:dyDescent="0.3">
      <c r="A99" s="227" t="s">
        <v>203</v>
      </c>
      <c r="B99" s="175" t="s">
        <v>62</v>
      </c>
      <c r="C99" s="175" t="s">
        <v>63</v>
      </c>
      <c r="D99" s="302">
        <v>760</v>
      </c>
      <c r="E99" s="303" t="s">
        <v>64</v>
      </c>
      <c r="F99" s="228">
        <v>1122144</v>
      </c>
      <c r="G99" s="229" t="s">
        <v>65</v>
      </c>
      <c r="H99" s="120"/>
      <c r="I99" s="120">
        <f>1700-400</f>
        <v>1300</v>
      </c>
      <c r="J99" s="120"/>
      <c r="K99" s="120"/>
      <c r="L99" s="120"/>
      <c r="M99" s="120"/>
      <c r="N99" s="120"/>
      <c r="O99" s="120"/>
      <c r="P99" s="120">
        <f>SUM(H99:L99)</f>
        <v>1300</v>
      </c>
      <c r="Q99" s="207"/>
      <c r="R99" s="208"/>
      <c r="S99" s="208"/>
      <c r="T99" s="208"/>
      <c r="U99" s="208"/>
      <c r="V99" s="208"/>
    </row>
    <row r="100" spans="1:22" s="223" customFormat="1" ht="34.5" customHeight="1" thickBot="1" x14ac:dyDescent="0.3">
      <c r="A100" s="441" t="s">
        <v>25</v>
      </c>
      <c r="B100" s="438" t="s">
        <v>139</v>
      </c>
      <c r="C100" s="210" t="s">
        <v>27</v>
      </c>
      <c r="D100" s="271" t="s">
        <v>291</v>
      </c>
      <c r="E100" s="177" t="s">
        <v>291</v>
      </c>
      <c r="F100" s="177" t="s">
        <v>291</v>
      </c>
      <c r="G100" s="177" t="s">
        <v>291</v>
      </c>
      <c r="H100" s="151">
        <f>H107+H125+H126+H127+H137</f>
        <v>64910</v>
      </c>
      <c r="I100" s="151">
        <f>I107+I125+I126+I127+I137</f>
        <v>35544</v>
      </c>
      <c r="J100" s="151">
        <f>J107+J125+J126+J127+J137</f>
        <v>31845.5</v>
      </c>
      <c r="K100" s="151">
        <f>K106+K124+K136</f>
        <v>8429.73</v>
      </c>
      <c r="L100" s="151">
        <f>L106+L124+L136</f>
        <v>27579.61</v>
      </c>
      <c r="M100" s="151">
        <f>M106+M124+M136</f>
        <v>19521</v>
      </c>
      <c r="N100" s="151">
        <f>N106+N124+N136</f>
        <v>24941</v>
      </c>
      <c r="O100" s="151">
        <f>O106+O124+O136</f>
        <v>24941</v>
      </c>
      <c r="P100" s="151">
        <f t="shared" ref="P100:P106" si="31">SUM(H100:O100)</f>
        <v>237711.84</v>
      </c>
      <c r="Q100" s="207"/>
      <c r="R100" s="208"/>
      <c r="S100" s="208"/>
      <c r="T100" s="208"/>
      <c r="U100" s="208"/>
      <c r="V100" s="208"/>
    </row>
    <row r="101" spans="1:22" s="223" customFormat="1" ht="74.25" customHeight="1" thickBot="1" x14ac:dyDescent="0.3">
      <c r="A101" s="442"/>
      <c r="B101" s="439"/>
      <c r="C101" s="310" t="s">
        <v>22</v>
      </c>
      <c r="D101" s="271" t="s">
        <v>35</v>
      </c>
      <c r="E101" s="311" t="s">
        <v>291</v>
      </c>
      <c r="F101" s="312" t="s">
        <v>291</v>
      </c>
      <c r="G101" s="311" t="s">
        <v>291</v>
      </c>
      <c r="H101" s="195">
        <f>H125</f>
        <v>580</v>
      </c>
      <c r="I101" s="195">
        <f t="shared" ref="I101:O101" si="32">I125</f>
        <v>0</v>
      </c>
      <c r="J101" s="195">
        <f t="shared" si="32"/>
        <v>0</v>
      </c>
      <c r="K101" s="195">
        <f t="shared" si="32"/>
        <v>0</v>
      </c>
      <c r="L101" s="195">
        <f t="shared" si="32"/>
        <v>0</v>
      </c>
      <c r="M101" s="195">
        <f t="shared" si="32"/>
        <v>0</v>
      </c>
      <c r="N101" s="195">
        <f t="shared" si="32"/>
        <v>0</v>
      </c>
      <c r="O101" s="195">
        <f t="shared" si="32"/>
        <v>0</v>
      </c>
      <c r="P101" s="195">
        <f t="shared" si="31"/>
        <v>580</v>
      </c>
      <c r="Q101" s="207"/>
      <c r="R101" s="208"/>
      <c r="S101" s="208"/>
      <c r="T101" s="208"/>
      <c r="U101" s="208"/>
      <c r="V101" s="208"/>
    </row>
    <row r="102" spans="1:22" s="223" customFormat="1" ht="42" customHeight="1" x14ac:dyDescent="0.25">
      <c r="A102" s="442"/>
      <c r="B102" s="439"/>
      <c r="C102" s="525" t="s">
        <v>21</v>
      </c>
      <c r="D102" s="224" t="s">
        <v>31</v>
      </c>
      <c r="E102" s="304" t="s">
        <v>291</v>
      </c>
      <c r="F102" s="304" t="s">
        <v>291</v>
      </c>
      <c r="G102" s="304" t="s">
        <v>291</v>
      </c>
      <c r="H102" s="145">
        <f>H107+H126</f>
        <v>52800</v>
      </c>
      <c r="I102" s="145">
        <f>I107+I126</f>
        <v>28856</v>
      </c>
      <c r="J102" s="145">
        <f>J107+J126</f>
        <v>23056</v>
      </c>
      <c r="K102" s="145"/>
      <c r="L102" s="145"/>
      <c r="M102" s="145"/>
      <c r="N102" s="145"/>
      <c r="O102" s="145"/>
      <c r="P102" s="447">
        <f>SUM(H102:O103)</f>
        <v>104815.73</v>
      </c>
      <c r="Q102" s="207"/>
      <c r="R102" s="208"/>
      <c r="S102" s="208"/>
      <c r="T102" s="208"/>
      <c r="U102" s="208"/>
      <c r="V102" s="208"/>
    </row>
    <row r="103" spans="1:22" s="223" customFormat="1" ht="42.75" customHeight="1" thickBot="1" x14ac:dyDescent="0.3">
      <c r="A103" s="442"/>
      <c r="B103" s="439"/>
      <c r="C103" s="526"/>
      <c r="D103" s="248" t="s">
        <v>31</v>
      </c>
      <c r="E103" s="281" t="s">
        <v>291</v>
      </c>
      <c r="F103" s="249">
        <v>1130000000</v>
      </c>
      <c r="G103" s="281" t="s">
        <v>291</v>
      </c>
      <c r="H103" s="226"/>
      <c r="I103" s="226"/>
      <c r="J103" s="226"/>
      <c r="K103" s="122">
        <f>K106+K126</f>
        <v>103.73</v>
      </c>
      <c r="L103" s="122">
        <f>L106+L126</f>
        <v>0</v>
      </c>
      <c r="M103" s="122">
        <f>M106+M126</f>
        <v>0</v>
      </c>
      <c r="N103" s="122">
        <f>N106+N126</f>
        <v>0</v>
      </c>
      <c r="O103" s="122">
        <f>O106+O126</f>
        <v>0</v>
      </c>
      <c r="P103" s="448"/>
      <c r="Q103" s="207"/>
      <c r="R103" s="208"/>
      <c r="S103" s="208"/>
      <c r="T103" s="208"/>
      <c r="U103" s="208"/>
      <c r="V103" s="208"/>
    </row>
    <row r="104" spans="1:22" s="223" customFormat="1" ht="82.5" customHeight="1" x14ac:dyDescent="0.25">
      <c r="A104" s="442"/>
      <c r="B104" s="439"/>
      <c r="C104" s="313" t="s">
        <v>63</v>
      </c>
      <c r="D104" s="262" t="s">
        <v>36</v>
      </c>
      <c r="E104" s="314" t="s">
        <v>291</v>
      </c>
      <c r="F104" s="315" t="s">
        <v>291</v>
      </c>
      <c r="G104" s="314" t="s">
        <v>291</v>
      </c>
      <c r="H104" s="159">
        <f>H127</f>
        <v>9950</v>
      </c>
      <c r="I104" s="159">
        <f>I127</f>
        <v>6688</v>
      </c>
      <c r="J104" s="159">
        <f>J127</f>
        <v>8789.5</v>
      </c>
      <c r="K104" s="159">
        <f t="shared" ref="K104:O104" si="33">K128</f>
        <v>8326</v>
      </c>
      <c r="L104" s="159">
        <f>L128</f>
        <v>27579.61</v>
      </c>
      <c r="M104" s="159">
        <f t="shared" si="33"/>
        <v>19521</v>
      </c>
      <c r="N104" s="159">
        <f t="shared" si="33"/>
        <v>24941</v>
      </c>
      <c r="O104" s="159">
        <f t="shared" si="33"/>
        <v>24941</v>
      </c>
      <c r="P104" s="159">
        <f t="shared" si="31"/>
        <v>130736.11</v>
      </c>
      <c r="Q104" s="207"/>
      <c r="R104" s="208"/>
      <c r="S104" s="208"/>
      <c r="T104" s="208"/>
      <c r="U104" s="208"/>
      <c r="V104" s="208"/>
    </row>
    <row r="105" spans="1:22" s="223" customFormat="1" ht="110.25" customHeight="1" thickBot="1" x14ac:dyDescent="0.3">
      <c r="A105" s="443"/>
      <c r="B105" s="440"/>
      <c r="C105" s="273" t="s">
        <v>368</v>
      </c>
      <c r="D105" s="316" t="s">
        <v>38</v>
      </c>
      <c r="E105" s="274" t="s">
        <v>291</v>
      </c>
      <c r="F105" s="279" t="s">
        <v>291</v>
      </c>
      <c r="G105" s="317" t="s">
        <v>291</v>
      </c>
      <c r="H105" s="196">
        <f>H137</f>
        <v>1580</v>
      </c>
      <c r="I105" s="196">
        <f>I137</f>
        <v>0</v>
      </c>
      <c r="J105" s="196">
        <f>J137</f>
        <v>0</v>
      </c>
      <c r="K105" s="196">
        <f t="shared" ref="K105:O105" si="34">K138</f>
        <v>0</v>
      </c>
      <c r="L105" s="196">
        <f t="shared" si="34"/>
        <v>0</v>
      </c>
      <c r="M105" s="196">
        <f t="shared" si="34"/>
        <v>0</v>
      </c>
      <c r="N105" s="196">
        <f t="shared" si="34"/>
        <v>0</v>
      </c>
      <c r="O105" s="196">
        <f t="shared" si="34"/>
        <v>0</v>
      </c>
      <c r="P105" s="196">
        <f t="shared" si="31"/>
        <v>1580</v>
      </c>
      <c r="Q105" s="207"/>
      <c r="R105" s="208"/>
      <c r="S105" s="208"/>
      <c r="T105" s="208"/>
      <c r="U105" s="208"/>
      <c r="V105" s="208"/>
    </row>
    <row r="106" spans="1:22" s="223" customFormat="1" ht="34.5" customHeight="1" thickBot="1" x14ac:dyDescent="0.3">
      <c r="A106" s="441" t="s">
        <v>103</v>
      </c>
      <c r="B106" s="438" t="s">
        <v>295</v>
      </c>
      <c r="C106" s="258" t="s">
        <v>27</v>
      </c>
      <c r="D106" s="277" t="s">
        <v>291</v>
      </c>
      <c r="E106" s="277" t="s">
        <v>291</v>
      </c>
      <c r="F106" s="277" t="s">
        <v>291</v>
      </c>
      <c r="G106" s="318" t="s">
        <v>291</v>
      </c>
      <c r="H106" s="127">
        <f>SUM(H107:H108)</f>
        <v>30800</v>
      </c>
      <c r="I106" s="127">
        <f t="shared" ref="I106:O106" si="35">SUM(I107:I108)</f>
        <v>28856</v>
      </c>
      <c r="J106" s="127">
        <f t="shared" si="35"/>
        <v>23056</v>
      </c>
      <c r="K106" s="127">
        <f t="shared" si="35"/>
        <v>103.73</v>
      </c>
      <c r="L106" s="127">
        <f t="shared" si="35"/>
        <v>0</v>
      </c>
      <c r="M106" s="127">
        <f t="shared" si="35"/>
        <v>0</v>
      </c>
      <c r="N106" s="127">
        <f t="shared" si="35"/>
        <v>0</v>
      </c>
      <c r="O106" s="127">
        <f t="shared" si="35"/>
        <v>0</v>
      </c>
      <c r="P106" s="127">
        <f t="shared" si="31"/>
        <v>82815.73</v>
      </c>
      <c r="Q106" s="207"/>
      <c r="R106" s="208"/>
      <c r="S106" s="208"/>
      <c r="T106" s="208"/>
      <c r="U106" s="208"/>
      <c r="V106" s="208"/>
    </row>
    <row r="107" spans="1:22" s="223" customFormat="1" ht="54" customHeight="1" x14ac:dyDescent="0.25">
      <c r="A107" s="442"/>
      <c r="B107" s="439"/>
      <c r="C107" s="438" t="s">
        <v>21</v>
      </c>
      <c r="D107" s="224" t="s">
        <v>31</v>
      </c>
      <c r="E107" s="305" t="s">
        <v>291</v>
      </c>
      <c r="F107" s="304" t="s">
        <v>291</v>
      </c>
      <c r="G107" s="305" t="s">
        <v>291</v>
      </c>
      <c r="H107" s="145">
        <f>SUM(H109:H123)</f>
        <v>30800</v>
      </c>
      <c r="I107" s="145">
        <f>SUM(I109:I123)</f>
        <v>28856</v>
      </c>
      <c r="J107" s="145">
        <f>SUM(J109:J123)</f>
        <v>23056</v>
      </c>
      <c r="K107" s="145"/>
      <c r="L107" s="145"/>
      <c r="M107" s="145"/>
      <c r="N107" s="145"/>
      <c r="O107" s="145"/>
      <c r="P107" s="447">
        <f>SUM(H107:O108)</f>
        <v>82815.73</v>
      </c>
      <c r="Q107" s="207"/>
      <c r="R107" s="208"/>
      <c r="S107" s="208"/>
      <c r="T107" s="208"/>
      <c r="U107" s="208"/>
      <c r="V107" s="208"/>
    </row>
    <row r="108" spans="1:22" s="223" customFormat="1" ht="60.75" customHeight="1" thickBot="1" x14ac:dyDescent="0.3">
      <c r="A108" s="443"/>
      <c r="B108" s="440"/>
      <c r="C108" s="440"/>
      <c r="D108" s="248" t="s">
        <v>31</v>
      </c>
      <c r="E108" s="281" t="s">
        <v>291</v>
      </c>
      <c r="F108" s="267">
        <v>1130100000</v>
      </c>
      <c r="G108" s="281" t="s">
        <v>291</v>
      </c>
      <c r="H108" s="226"/>
      <c r="I108" s="226"/>
      <c r="J108" s="226"/>
      <c r="K108" s="122">
        <f>SUM(K109:K123)</f>
        <v>103.73</v>
      </c>
      <c r="L108" s="122">
        <f>SUM(L109:L123)</f>
        <v>0</v>
      </c>
      <c r="M108" s="122">
        <f>SUM(M109:M123)</f>
        <v>0</v>
      </c>
      <c r="N108" s="122">
        <f>SUM(N109:N123)</f>
        <v>0</v>
      </c>
      <c r="O108" s="122">
        <f>SUM(O109:O123)</f>
        <v>0</v>
      </c>
      <c r="P108" s="448"/>
      <c r="Q108" s="207"/>
      <c r="R108" s="208"/>
      <c r="S108" s="208"/>
      <c r="T108" s="208"/>
      <c r="U108" s="208"/>
      <c r="V108" s="208"/>
    </row>
    <row r="109" spans="1:22" s="218" customFormat="1" ht="38.1" customHeight="1" x14ac:dyDescent="0.25">
      <c r="A109" s="436" t="s">
        <v>204</v>
      </c>
      <c r="B109" s="530" t="s">
        <v>114</v>
      </c>
      <c r="C109" s="449" t="s">
        <v>21</v>
      </c>
      <c r="D109" s="231" t="s">
        <v>31</v>
      </c>
      <c r="E109" s="230" t="s">
        <v>32</v>
      </c>
      <c r="F109" s="319">
        <v>5221020</v>
      </c>
      <c r="G109" s="232" t="s">
        <v>17</v>
      </c>
      <c r="H109" s="233">
        <v>4800</v>
      </c>
      <c r="I109" s="160"/>
      <c r="J109" s="160"/>
      <c r="K109" s="160"/>
      <c r="L109" s="160"/>
      <c r="M109" s="160"/>
      <c r="N109" s="160"/>
      <c r="O109" s="160"/>
      <c r="P109" s="527">
        <f>SUM(H109:O116)</f>
        <v>14215.73</v>
      </c>
      <c r="Q109" s="207"/>
      <c r="R109" s="208"/>
      <c r="S109" s="208"/>
      <c r="T109" s="208"/>
      <c r="U109" s="208"/>
      <c r="V109" s="208"/>
    </row>
    <row r="110" spans="1:22" s="218" customFormat="1" ht="38.1" customHeight="1" x14ac:dyDescent="0.25">
      <c r="A110" s="435"/>
      <c r="B110" s="531"/>
      <c r="C110" s="444"/>
      <c r="D110" s="250" t="s">
        <v>31</v>
      </c>
      <c r="E110" s="251" t="s">
        <v>32</v>
      </c>
      <c r="F110" s="320">
        <v>1132147</v>
      </c>
      <c r="G110" s="320">
        <v>244</v>
      </c>
      <c r="H110" s="132"/>
      <c r="I110" s="132">
        <v>4583.2</v>
      </c>
      <c r="J110" s="172"/>
      <c r="K110" s="161"/>
      <c r="L110" s="161"/>
      <c r="M110" s="161"/>
      <c r="N110" s="161"/>
      <c r="O110" s="161"/>
      <c r="P110" s="528"/>
      <c r="Q110" s="207"/>
      <c r="R110" s="208"/>
      <c r="S110" s="208"/>
      <c r="T110" s="208"/>
      <c r="U110" s="208"/>
      <c r="V110" s="208"/>
    </row>
    <row r="111" spans="1:22" s="218" customFormat="1" ht="38.1" customHeight="1" x14ac:dyDescent="0.25">
      <c r="A111" s="435"/>
      <c r="B111" s="531"/>
      <c r="C111" s="444"/>
      <c r="D111" s="241">
        <v>759</v>
      </c>
      <c r="E111" s="242" t="s">
        <v>32</v>
      </c>
      <c r="F111" s="321">
        <v>1132147</v>
      </c>
      <c r="G111" s="321">
        <v>612</v>
      </c>
      <c r="H111" s="161"/>
      <c r="I111" s="132">
        <v>72.8</v>
      </c>
      <c r="J111" s="172"/>
      <c r="K111" s="132"/>
      <c r="L111" s="132"/>
      <c r="M111" s="132"/>
      <c r="N111" s="132"/>
      <c r="O111" s="132"/>
      <c r="P111" s="528"/>
      <c r="Q111" s="207"/>
      <c r="R111" s="208"/>
      <c r="S111" s="208"/>
      <c r="T111" s="208"/>
      <c r="U111" s="208"/>
      <c r="V111" s="208"/>
    </row>
    <row r="112" spans="1:22" s="218" customFormat="1" ht="38.1" customHeight="1" x14ac:dyDescent="0.25">
      <c r="A112" s="435"/>
      <c r="B112" s="531"/>
      <c r="C112" s="444"/>
      <c r="D112" s="250" t="s">
        <v>31</v>
      </c>
      <c r="E112" s="251" t="s">
        <v>32</v>
      </c>
      <c r="F112" s="320">
        <v>1137028</v>
      </c>
      <c r="G112" s="320">
        <v>244</v>
      </c>
      <c r="H112" s="307"/>
      <c r="I112" s="307"/>
      <c r="J112" s="180">
        <f>2328</f>
        <v>2328</v>
      </c>
      <c r="K112" s="162"/>
      <c r="L112" s="162"/>
      <c r="M112" s="162"/>
      <c r="N112" s="162"/>
      <c r="O112" s="161"/>
      <c r="P112" s="528"/>
      <c r="Q112" s="207"/>
      <c r="R112" s="208"/>
      <c r="S112" s="208"/>
      <c r="T112" s="208"/>
      <c r="U112" s="208"/>
      <c r="V112" s="208"/>
    </row>
    <row r="113" spans="1:22" s="218" customFormat="1" ht="38.1" customHeight="1" x14ac:dyDescent="0.25">
      <c r="A113" s="435"/>
      <c r="B113" s="531"/>
      <c r="C113" s="444"/>
      <c r="D113" s="241">
        <v>759</v>
      </c>
      <c r="E113" s="242" t="s">
        <v>32</v>
      </c>
      <c r="F113" s="321">
        <v>1137028</v>
      </c>
      <c r="G113" s="321">
        <v>612</v>
      </c>
      <c r="H113" s="161"/>
      <c r="I113" s="132"/>
      <c r="J113" s="129">
        <f>2328</f>
        <v>2328</v>
      </c>
      <c r="K113" s="132"/>
      <c r="L113" s="132"/>
      <c r="M113" s="132"/>
      <c r="N113" s="132"/>
      <c r="O113" s="132"/>
      <c r="P113" s="528"/>
      <c r="Q113" s="207"/>
      <c r="R113" s="208"/>
      <c r="S113" s="208"/>
      <c r="T113" s="208"/>
      <c r="U113" s="208"/>
      <c r="V113" s="208"/>
    </row>
    <row r="114" spans="1:22" s="218" customFormat="1" ht="38.1" customHeight="1" x14ac:dyDescent="0.25">
      <c r="A114" s="435"/>
      <c r="B114" s="531"/>
      <c r="C114" s="444"/>
      <c r="D114" s="250" t="s">
        <v>31</v>
      </c>
      <c r="E114" s="251" t="s">
        <v>32</v>
      </c>
      <c r="F114" s="320">
        <v>1130121470</v>
      </c>
      <c r="G114" s="320">
        <v>244</v>
      </c>
      <c r="H114" s="123"/>
      <c r="I114" s="172"/>
      <c r="J114" s="172"/>
      <c r="K114" s="124">
        <f>2328-2328</f>
        <v>0</v>
      </c>
      <c r="L114" s="124">
        <f>2100-2100</f>
        <v>0</v>
      </c>
      <c r="M114" s="124">
        <f>2328-2328</f>
        <v>0</v>
      </c>
      <c r="N114" s="124">
        <f>2100-2100</f>
        <v>0</v>
      </c>
      <c r="O114" s="124">
        <f>2328-2328</f>
        <v>0</v>
      </c>
      <c r="P114" s="528"/>
      <c r="Q114" s="207"/>
      <c r="R114" s="208"/>
      <c r="S114" s="208"/>
      <c r="T114" s="208"/>
      <c r="U114" s="208"/>
      <c r="V114" s="208"/>
    </row>
    <row r="115" spans="1:22" s="218" customFormat="1" ht="38.1" customHeight="1" x14ac:dyDescent="0.25">
      <c r="A115" s="435"/>
      <c r="B115" s="531"/>
      <c r="C115" s="444"/>
      <c r="D115" s="241">
        <v>759</v>
      </c>
      <c r="E115" s="242" t="s">
        <v>32</v>
      </c>
      <c r="F115" s="321">
        <v>1130121470</v>
      </c>
      <c r="G115" s="321">
        <v>612</v>
      </c>
      <c r="H115" s="126"/>
      <c r="I115" s="322"/>
      <c r="J115" s="322"/>
      <c r="K115" s="131">
        <f>2328-2328</f>
        <v>0</v>
      </c>
      <c r="L115" s="131">
        <f>2100-2100</f>
        <v>0</v>
      </c>
      <c r="M115" s="131">
        <f>2328-2328</f>
        <v>0</v>
      </c>
      <c r="N115" s="131">
        <f>2100-2100</f>
        <v>0</v>
      </c>
      <c r="O115" s="131">
        <f>2328-2328</f>
        <v>0</v>
      </c>
      <c r="P115" s="528"/>
      <c r="Q115" s="207"/>
      <c r="R115" s="208"/>
      <c r="S115" s="208"/>
      <c r="T115" s="208"/>
      <c r="U115" s="208"/>
      <c r="V115" s="208"/>
    </row>
    <row r="116" spans="1:22" s="218" customFormat="1" ht="38.1" customHeight="1" x14ac:dyDescent="0.25">
      <c r="A116" s="504"/>
      <c r="B116" s="532"/>
      <c r="C116" s="506"/>
      <c r="D116" s="250">
        <v>759</v>
      </c>
      <c r="E116" s="251" t="s">
        <v>32</v>
      </c>
      <c r="F116" s="320">
        <v>1130170280</v>
      </c>
      <c r="G116" s="320">
        <v>244</v>
      </c>
      <c r="H116" s="123"/>
      <c r="I116" s="172"/>
      <c r="J116" s="172"/>
      <c r="K116" s="124">
        <v>103.73</v>
      </c>
      <c r="L116" s="124"/>
      <c r="M116" s="124"/>
      <c r="N116" s="124"/>
      <c r="O116" s="124"/>
      <c r="P116" s="529"/>
      <c r="Q116" s="207"/>
      <c r="R116" s="208"/>
      <c r="S116" s="208"/>
      <c r="T116" s="208"/>
      <c r="U116" s="208"/>
      <c r="V116" s="208"/>
    </row>
    <row r="117" spans="1:22" s="218" customFormat="1" ht="75" customHeight="1" x14ac:dyDescent="0.25">
      <c r="A117" s="435" t="s">
        <v>205</v>
      </c>
      <c r="B117" s="444" t="s">
        <v>325</v>
      </c>
      <c r="C117" s="444" t="s">
        <v>21</v>
      </c>
      <c r="D117" s="323">
        <v>759</v>
      </c>
      <c r="E117" s="324" t="s">
        <v>32</v>
      </c>
      <c r="F117" s="323">
        <v>5221010</v>
      </c>
      <c r="G117" s="287" t="s">
        <v>50</v>
      </c>
      <c r="H117" s="307">
        <v>24400</v>
      </c>
      <c r="I117" s="158"/>
      <c r="J117" s="158"/>
      <c r="K117" s="158"/>
      <c r="L117" s="158"/>
      <c r="M117" s="158"/>
      <c r="N117" s="158"/>
      <c r="O117" s="158"/>
      <c r="P117" s="468">
        <f>SUM(H117:O119)</f>
        <v>61200</v>
      </c>
      <c r="Q117" s="207"/>
      <c r="R117" s="208"/>
      <c r="S117" s="208"/>
      <c r="T117" s="208"/>
      <c r="U117" s="208"/>
      <c r="V117" s="208"/>
    </row>
    <row r="118" spans="1:22" s="218" customFormat="1" ht="70.5" customHeight="1" x14ac:dyDescent="0.25">
      <c r="A118" s="435"/>
      <c r="B118" s="444"/>
      <c r="C118" s="444"/>
      <c r="D118" s="325">
        <v>759</v>
      </c>
      <c r="E118" s="325" t="s">
        <v>32</v>
      </c>
      <c r="F118" s="321">
        <v>1139222</v>
      </c>
      <c r="G118" s="326">
        <v>520</v>
      </c>
      <c r="H118" s="132"/>
      <c r="I118" s="132">
        <v>18400</v>
      </c>
      <c r="J118" s="132">
        <f>18400</f>
        <v>18400</v>
      </c>
      <c r="K118" s="132"/>
      <c r="L118" s="132"/>
      <c r="M118" s="132"/>
      <c r="N118" s="132"/>
      <c r="O118" s="132"/>
      <c r="P118" s="468"/>
      <c r="Q118" s="207"/>
      <c r="R118" s="208"/>
      <c r="S118" s="208"/>
      <c r="T118" s="208"/>
      <c r="U118" s="208"/>
      <c r="V118" s="208"/>
    </row>
    <row r="119" spans="1:22" s="218" customFormat="1" ht="76.5" customHeight="1" thickBot="1" x14ac:dyDescent="0.3">
      <c r="A119" s="437"/>
      <c r="B119" s="450"/>
      <c r="C119" s="450"/>
      <c r="D119" s="327">
        <v>759</v>
      </c>
      <c r="E119" s="327" t="s">
        <v>32</v>
      </c>
      <c r="F119" s="328">
        <v>1130192220</v>
      </c>
      <c r="G119" s="329">
        <v>520</v>
      </c>
      <c r="H119" s="130"/>
      <c r="I119" s="130"/>
      <c r="J119" s="130"/>
      <c r="K119" s="130">
        <f>18400-18400</f>
        <v>0</v>
      </c>
      <c r="L119" s="130">
        <f>18400-18400</f>
        <v>0</v>
      </c>
      <c r="M119" s="130">
        <f>18400-18400</f>
        <v>0</v>
      </c>
      <c r="N119" s="130">
        <f>18400-18400</f>
        <v>0</v>
      </c>
      <c r="O119" s="130">
        <f>18400-18400</f>
        <v>0</v>
      </c>
      <c r="P119" s="475"/>
      <c r="Q119" s="207"/>
      <c r="R119" s="208"/>
      <c r="S119" s="208"/>
      <c r="T119" s="208"/>
      <c r="U119" s="208"/>
      <c r="V119" s="208"/>
    </row>
    <row r="120" spans="1:22" s="218" customFormat="1" ht="104.25" customHeight="1" thickBot="1" x14ac:dyDescent="0.3">
      <c r="A120" s="222" t="s">
        <v>206</v>
      </c>
      <c r="B120" s="330" t="s">
        <v>67</v>
      </c>
      <c r="C120" s="331" t="s">
        <v>21</v>
      </c>
      <c r="D120" s="332">
        <v>759</v>
      </c>
      <c r="E120" s="333" t="s">
        <v>32</v>
      </c>
      <c r="F120" s="332">
        <v>5221020</v>
      </c>
      <c r="G120" s="333" t="s">
        <v>17</v>
      </c>
      <c r="H120" s="188">
        <v>800</v>
      </c>
      <c r="I120" s="163"/>
      <c r="J120" s="163"/>
      <c r="K120" s="163"/>
      <c r="L120" s="163"/>
      <c r="M120" s="163"/>
      <c r="N120" s="163"/>
      <c r="O120" s="163"/>
      <c r="P120" s="188">
        <f>SUM(H120:O120)</f>
        <v>800</v>
      </c>
      <c r="Q120" s="207"/>
      <c r="R120" s="208"/>
      <c r="S120" s="208"/>
      <c r="T120" s="208"/>
      <c r="U120" s="208"/>
      <c r="V120" s="208"/>
    </row>
    <row r="121" spans="1:22" s="218" customFormat="1" ht="100.5" customHeight="1" thickBot="1" x14ac:dyDescent="0.3">
      <c r="A121" s="210" t="s">
        <v>207</v>
      </c>
      <c r="B121" s="330" t="s">
        <v>306</v>
      </c>
      <c r="C121" s="331" t="s">
        <v>21</v>
      </c>
      <c r="D121" s="332">
        <v>759</v>
      </c>
      <c r="E121" s="333" t="s">
        <v>32</v>
      </c>
      <c r="F121" s="332">
        <v>5221020</v>
      </c>
      <c r="G121" s="333" t="s">
        <v>17</v>
      </c>
      <c r="H121" s="163">
        <v>800</v>
      </c>
      <c r="I121" s="163"/>
      <c r="J121" s="163"/>
      <c r="K121" s="163"/>
      <c r="L121" s="163"/>
      <c r="M121" s="163"/>
      <c r="N121" s="163"/>
      <c r="O121" s="163"/>
      <c r="P121" s="188">
        <f>SUM(H121:O121)</f>
        <v>800</v>
      </c>
      <c r="Q121" s="207"/>
      <c r="R121" s="208"/>
      <c r="S121" s="208"/>
      <c r="T121" s="208"/>
      <c r="U121" s="208"/>
      <c r="V121" s="208"/>
    </row>
    <row r="122" spans="1:22" s="218" customFormat="1" ht="39.950000000000003" customHeight="1" x14ac:dyDescent="0.25">
      <c r="A122" s="436" t="s">
        <v>208</v>
      </c>
      <c r="B122" s="449" t="s">
        <v>108</v>
      </c>
      <c r="C122" s="449" t="s">
        <v>21</v>
      </c>
      <c r="D122" s="319">
        <v>759</v>
      </c>
      <c r="E122" s="334" t="s">
        <v>109</v>
      </c>
      <c r="F122" s="319">
        <v>1132235</v>
      </c>
      <c r="G122" s="319">
        <v>244</v>
      </c>
      <c r="H122" s="153"/>
      <c r="I122" s="153">
        <v>5800</v>
      </c>
      <c r="J122" s="153">
        <v>0</v>
      </c>
      <c r="K122" s="155"/>
      <c r="L122" s="155"/>
      <c r="M122" s="155"/>
      <c r="N122" s="155"/>
      <c r="O122" s="155"/>
      <c r="P122" s="474">
        <f>SUM(H122:O123)</f>
        <v>5800</v>
      </c>
      <c r="Q122" s="207"/>
      <c r="R122" s="208"/>
      <c r="S122" s="208"/>
      <c r="T122" s="208"/>
      <c r="U122" s="208"/>
      <c r="V122" s="208"/>
    </row>
    <row r="123" spans="1:22" s="218" customFormat="1" ht="39.950000000000003" customHeight="1" thickBot="1" x14ac:dyDescent="0.3">
      <c r="A123" s="437"/>
      <c r="B123" s="450"/>
      <c r="C123" s="450"/>
      <c r="D123" s="332">
        <v>759</v>
      </c>
      <c r="E123" s="333" t="s">
        <v>109</v>
      </c>
      <c r="F123" s="332">
        <v>1130122350</v>
      </c>
      <c r="G123" s="335">
        <v>244</v>
      </c>
      <c r="H123" s="130"/>
      <c r="I123" s="130"/>
      <c r="J123" s="130"/>
      <c r="K123" s="130">
        <v>0</v>
      </c>
      <c r="L123" s="130">
        <v>0</v>
      </c>
      <c r="M123" s="130">
        <v>0</v>
      </c>
      <c r="N123" s="130">
        <v>0</v>
      </c>
      <c r="O123" s="130">
        <v>0</v>
      </c>
      <c r="P123" s="475"/>
      <c r="Q123" s="207"/>
      <c r="R123" s="208"/>
      <c r="S123" s="208"/>
      <c r="T123" s="208"/>
      <c r="U123" s="208"/>
      <c r="V123" s="208"/>
    </row>
    <row r="124" spans="1:22" s="223" customFormat="1" ht="34.5" customHeight="1" thickBot="1" x14ac:dyDescent="0.3">
      <c r="A124" s="435" t="s">
        <v>104</v>
      </c>
      <c r="B124" s="438" t="s">
        <v>296</v>
      </c>
      <c r="C124" s="210" t="s">
        <v>27</v>
      </c>
      <c r="D124" s="336" t="s">
        <v>291</v>
      </c>
      <c r="E124" s="336" t="s">
        <v>291</v>
      </c>
      <c r="F124" s="336" t="s">
        <v>291</v>
      </c>
      <c r="G124" s="336" t="s">
        <v>291</v>
      </c>
      <c r="H124" s="139">
        <f>SUM(H125:H128)</f>
        <v>32530</v>
      </c>
      <c r="I124" s="139">
        <f t="shared" ref="I124:J124" si="36">SUM(I125:I128)</f>
        <v>6688</v>
      </c>
      <c r="J124" s="139">
        <f t="shared" si="36"/>
        <v>8789.5</v>
      </c>
      <c r="K124" s="139">
        <f>K131+K133</f>
        <v>8326</v>
      </c>
      <c r="L124" s="139">
        <f>L131+L133+L132+L134+L135</f>
        <v>27579.61</v>
      </c>
      <c r="M124" s="139">
        <f t="shared" ref="M124:O124" si="37">M131+M133+M132+M134+M135</f>
        <v>19521</v>
      </c>
      <c r="N124" s="139">
        <f t="shared" si="37"/>
        <v>24941</v>
      </c>
      <c r="O124" s="139">
        <f t="shared" si="37"/>
        <v>24941</v>
      </c>
      <c r="P124" s="139">
        <f>SUM(H124:O124)</f>
        <v>153316.10999999999</v>
      </c>
      <c r="Q124" s="207"/>
      <c r="R124" s="208"/>
      <c r="S124" s="208"/>
      <c r="T124" s="208"/>
      <c r="U124" s="208"/>
      <c r="V124" s="208"/>
    </row>
    <row r="125" spans="1:22" s="223" customFormat="1" ht="76.5" customHeight="1" thickBot="1" x14ac:dyDescent="0.3">
      <c r="A125" s="435"/>
      <c r="B125" s="439"/>
      <c r="C125" s="276" t="s">
        <v>22</v>
      </c>
      <c r="D125" s="258">
        <v>755</v>
      </c>
      <c r="E125" s="177" t="s">
        <v>30</v>
      </c>
      <c r="F125" s="337" t="s">
        <v>291</v>
      </c>
      <c r="G125" s="278" t="s">
        <v>17</v>
      </c>
      <c r="H125" s="127">
        <f>H134+H135</f>
        <v>580</v>
      </c>
      <c r="I125" s="164"/>
      <c r="J125" s="164"/>
      <c r="K125" s="164"/>
      <c r="L125" s="164"/>
      <c r="M125" s="164"/>
      <c r="N125" s="164"/>
      <c r="O125" s="164"/>
      <c r="P125" s="164">
        <f>SUM(H125:O125)</f>
        <v>580</v>
      </c>
      <c r="Q125" s="207"/>
      <c r="R125" s="208"/>
      <c r="S125" s="208"/>
      <c r="T125" s="208"/>
      <c r="U125" s="208"/>
      <c r="V125" s="208"/>
    </row>
    <row r="126" spans="1:22" s="223" customFormat="1" ht="70.5" customHeight="1" thickBot="1" x14ac:dyDescent="0.3">
      <c r="A126" s="435"/>
      <c r="B126" s="439"/>
      <c r="C126" s="276" t="s">
        <v>21</v>
      </c>
      <c r="D126" s="337">
        <v>759</v>
      </c>
      <c r="E126" s="338" t="s">
        <v>32</v>
      </c>
      <c r="F126" s="337" t="s">
        <v>291</v>
      </c>
      <c r="G126" s="338" t="s">
        <v>17</v>
      </c>
      <c r="H126" s="164">
        <f t="shared" ref="H126:O126" si="38">H133</f>
        <v>22000</v>
      </c>
      <c r="I126" s="164">
        <f t="shared" si="38"/>
        <v>0</v>
      </c>
      <c r="J126" s="164">
        <f t="shared" si="38"/>
        <v>0</v>
      </c>
      <c r="K126" s="164">
        <f t="shared" si="38"/>
        <v>0</v>
      </c>
      <c r="L126" s="164">
        <f t="shared" si="38"/>
        <v>0</v>
      </c>
      <c r="M126" s="164">
        <f t="shared" si="38"/>
        <v>0</v>
      </c>
      <c r="N126" s="164">
        <f t="shared" si="38"/>
        <v>0</v>
      </c>
      <c r="O126" s="164">
        <f t="shared" si="38"/>
        <v>0</v>
      </c>
      <c r="P126" s="164">
        <f>SUM(H126:O126)</f>
        <v>22000</v>
      </c>
      <c r="Q126" s="207"/>
      <c r="R126" s="208"/>
      <c r="S126" s="208"/>
      <c r="T126" s="208"/>
      <c r="U126" s="208"/>
      <c r="V126" s="208"/>
    </row>
    <row r="127" spans="1:22" s="223" customFormat="1" ht="35.1" customHeight="1" x14ac:dyDescent="0.25">
      <c r="A127" s="435"/>
      <c r="B127" s="439"/>
      <c r="C127" s="439" t="s">
        <v>63</v>
      </c>
      <c r="D127" s="339">
        <v>760</v>
      </c>
      <c r="E127" s="340" t="s">
        <v>37</v>
      </c>
      <c r="F127" s="191" t="s">
        <v>291</v>
      </c>
      <c r="G127" s="262" t="s">
        <v>291</v>
      </c>
      <c r="H127" s="165">
        <f>H129</f>
        <v>9950</v>
      </c>
      <c r="I127" s="165">
        <f>I130</f>
        <v>6688</v>
      </c>
      <c r="J127" s="165">
        <f>J130</f>
        <v>8789.5</v>
      </c>
      <c r="K127" s="165"/>
      <c r="L127" s="165"/>
      <c r="M127" s="165"/>
      <c r="N127" s="165"/>
      <c r="O127" s="165"/>
      <c r="P127" s="485">
        <f>SUM(H127:O128)</f>
        <v>130736.11</v>
      </c>
      <c r="Q127" s="207"/>
      <c r="R127" s="208"/>
      <c r="S127" s="208"/>
      <c r="T127" s="208"/>
      <c r="U127" s="208"/>
      <c r="V127" s="208"/>
    </row>
    <row r="128" spans="1:22" s="223" customFormat="1" ht="35.1" customHeight="1" thickBot="1" x14ac:dyDescent="0.3">
      <c r="A128" s="435"/>
      <c r="B128" s="439"/>
      <c r="C128" s="439"/>
      <c r="D128" s="341">
        <v>760</v>
      </c>
      <c r="E128" s="342">
        <v>1006</v>
      </c>
      <c r="F128" s="190">
        <v>1130200000</v>
      </c>
      <c r="G128" s="190" t="s">
        <v>291</v>
      </c>
      <c r="H128" s="343"/>
      <c r="I128" s="343"/>
      <c r="J128" s="343"/>
      <c r="K128" s="119">
        <f>K131</f>
        <v>8326</v>
      </c>
      <c r="L128" s="119">
        <f>L131+L132</f>
        <v>27579.61</v>
      </c>
      <c r="M128" s="119">
        <f t="shared" ref="M128:O128" si="39">M131+M132</f>
        <v>19521</v>
      </c>
      <c r="N128" s="119">
        <f t="shared" si="39"/>
        <v>24941</v>
      </c>
      <c r="O128" s="119">
        <f t="shared" si="39"/>
        <v>24941</v>
      </c>
      <c r="P128" s="486"/>
      <c r="Q128" s="207"/>
      <c r="R128" s="208"/>
      <c r="S128" s="208"/>
      <c r="T128" s="208"/>
      <c r="U128" s="208"/>
      <c r="V128" s="208"/>
    </row>
    <row r="129" spans="1:22" s="218" customFormat="1" ht="35.1" customHeight="1" x14ac:dyDescent="0.25">
      <c r="A129" s="489" t="s">
        <v>209</v>
      </c>
      <c r="B129" s="449" t="s">
        <v>68</v>
      </c>
      <c r="C129" s="449" t="s">
        <v>63</v>
      </c>
      <c r="D129" s="319">
        <v>760</v>
      </c>
      <c r="E129" s="319">
        <v>1006</v>
      </c>
      <c r="F129" s="319">
        <v>5221020</v>
      </c>
      <c r="G129" s="334" t="s">
        <v>17</v>
      </c>
      <c r="H129" s="153">
        <v>9950</v>
      </c>
      <c r="I129" s="155"/>
      <c r="J129" s="155"/>
      <c r="K129" s="155"/>
      <c r="L129" s="155"/>
      <c r="M129" s="155"/>
      <c r="N129" s="155"/>
      <c r="O129" s="155"/>
      <c r="P129" s="493">
        <f>SUM(H129:O131)</f>
        <v>64437.5</v>
      </c>
      <c r="Q129" s="207"/>
      <c r="R129" s="208"/>
      <c r="S129" s="208"/>
      <c r="T129" s="208"/>
      <c r="U129" s="208"/>
      <c r="V129" s="208"/>
    </row>
    <row r="130" spans="1:22" s="218" customFormat="1" ht="35.1" customHeight="1" x14ac:dyDescent="0.25">
      <c r="A130" s="490"/>
      <c r="B130" s="444"/>
      <c r="C130" s="444"/>
      <c r="D130" s="320">
        <v>760</v>
      </c>
      <c r="E130" s="320">
        <v>1006</v>
      </c>
      <c r="F130" s="320">
        <v>1132150</v>
      </c>
      <c r="G130" s="320">
        <v>244</v>
      </c>
      <c r="H130" s="132"/>
      <c r="I130" s="132">
        <v>6688</v>
      </c>
      <c r="J130" s="132">
        <f>6688+2101.5</f>
        <v>8789.5</v>
      </c>
      <c r="K130" s="132"/>
      <c r="L130" s="132"/>
      <c r="M130" s="132"/>
      <c r="N130" s="132"/>
      <c r="O130" s="132"/>
      <c r="P130" s="494"/>
      <c r="Q130" s="207"/>
      <c r="R130" s="208"/>
      <c r="S130" s="208"/>
      <c r="T130" s="208"/>
      <c r="U130" s="208"/>
      <c r="V130" s="208"/>
    </row>
    <row r="131" spans="1:22" s="218" customFormat="1" ht="35.1" customHeight="1" x14ac:dyDescent="0.25">
      <c r="A131" s="490"/>
      <c r="B131" s="444"/>
      <c r="C131" s="444"/>
      <c r="D131" s="320">
        <v>760</v>
      </c>
      <c r="E131" s="320">
        <v>1006</v>
      </c>
      <c r="F131" s="320">
        <v>1130221500</v>
      </c>
      <c r="G131" s="320">
        <v>244</v>
      </c>
      <c r="H131" s="132"/>
      <c r="I131" s="132"/>
      <c r="J131" s="132"/>
      <c r="K131" s="132">
        <f>6688+1638</f>
        <v>8326</v>
      </c>
      <c r="L131" s="132">
        <f>6955+716</f>
        <v>7671</v>
      </c>
      <c r="M131" s="132">
        <f t="shared" ref="M131:O131" si="40">6955+716</f>
        <v>7671</v>
      </c>
      <c r="N131" s="132">
        <f t="shared" si="40"/>
        <v>7671</v>
      </c>
      <c r="O131" s="132">
        <f t="shared" si="40"/>
        <v>7671</v>
      </c>
      <c r="P131" s="494"/>
      <c r="Q131" s="207"/>
      <c r="R131" s="208"/>
      <c r="S131" s="208"/>
      <c r="T131" s="208"/>
      <c r="U131" s="208"/>
      <c r="V131" s="208"/>
    </row>
    <row r="132" spans="1:22" s="218" customFormat="1" ht="35.1" customHeight="1" thickBot="1" x14ac:dyDescent="0.3">
      <c r="A132" s="491"/>
      <c r="B132" s="450"/>
      <c r="C132" s="450"/>
      <c r="D132" s="328">
        <v>760</v>
      </c>
      <c r="E132" s="328">
        <v>1006</v>
      </c>
      <c r="F132" s="328">
        <v>1130270590</v>
      </c>
      <c r="G132" s="328">
        <v>244</v>
      </c>
      <c r="H132" s="130"/>
      <c r="I132" s="130"/>
      <c r="J132" s="130"/>
      <c r="K132" s="130"/>
      <c r="L132" s="130">
        <v>19908.61</v>
      </c>
      <c r="M132" s="130">
        <v>11850</v>
      </c>
      <c r="N132" s="130">
        <v>17270</v>
      </c>
      <c r="O132" s="130">
        <v>17270</v>
      </c>
      <c r="P132" s="344"/>
      <c r="Q132" s="207"/>
      <c r="R132" s="208"/>
      <c r="S132" s="208"/>
      <c r="T132" s="208"/>
      <c r="U132" s="208"/>
      <c r="V132" s="208"/>
    </row>
    <row r="133" spans="1:22" s="218" customFormat="1" ht="133.5" customHeight="1" thickBot="1" x14ac:dyDescent="0.3">
      <c r="A133" s="222" t="s">
        <v>210</v>
      </c>
      <c r="B133" s="330" t="s">
        <v>307</v>
      </c>
      <c r="C133" s="330" t="s">
        <v>21</v>
      </c>
      <c r="D133" s="333">
        <v>759</v>
      </c>
      <c r="E133" s="333" t="s">
        <v>32</v>
      </c>
      <c r="F133" s="332">
        <v>5221020</v>
      </c>
      <c r="G133" s="333" t="s">
        <v>17</v>
      </c>
      <c r="H133" s="188">
        <v>22000</v>
      </c>
      <c r="I133" s="163">
        <v>0</v>
      </c>
      <c r="J133" s="163">
        <v>0</v>
      </c>
      <c r="K133" s="163">
        <v>0</v>
      </c>
      <c r="L133" s="163">
        <v>0</v>
      </c>
      <c r="M133" s="163">
        <v>0</v>
      </c>
      <c r="N133" s="163">
        <v>0</v>
      </c>
      <c r="O133" s="163">
        <v>0</v>
      </c>
      <c r="P133" s="163">
        <f>SUM(H133:O133)</f>
        <v>22000</v>
      </c>
      <c r="Q133" s="207"/>
      <c r="R133" s="208"/>
      <c r="S133" s="208"/>
      <c r="T133" s="208"/>
      <c r="U133" s="208"/>
      <c r="V133" s="208"/>
    </row>
    <row r="134" spans="1:22" s="218" customFormat="1" ht="106.5" customHeight="1" thickBot="1" x14ac:dyDescent="0.3">
      <c r="A134" s="345" t="s">
        <v>259</v>
      </c>
      <c r="B134" s="175" t="s">
        <v>73</v>
      </c>
      <c r="C134" s="175" t="s">
        <v>22</v>
      </c>
      <c r="D134" s="228">
        <v>755</v>
      </c>
      <c r="E134" s="176" t="s">
        <v>30</v>
      </c>
      <c r="F134" s="228">
        <v>5225513</v>
      </c>
      <c r="G134" s="229" t="s">
        <v>17</v>
      </c>
      <c r="H134" s="125">
        <v>500</v>
      </c>
      <c r="I134" s="120">
        <v>0</v>
      </c>
      <c r="J134" s="120">
        <v>0</v>
      </c>
      <c r="K134" s="120">
        <v>0</v>
      </c>
      <c r="L134" s="120">
        <v>0</v>
      </c>
      <c r="M134" s="120">
        <v>0</v>
      </c>
      <c r="N134" s="120">
        <v>0</v>
      </c>
      <c r="O134" s="120">
        <v>0</v>
      </c>
      <c r="P134" s="120">
        <f>SUM(H134:O134)</f>
        <v>500</v>
      </c>
      <c r="Q134" s="207"/>
      <c r="R134" s="208"/>
      <c r="S134" s="208"/>
      <c r="T134" s="208"/>
      <c r="U134" s="208"/>
      <c r="V134" s="208"/>
    </row>
    <row r="135" spans="1:22" s="218" customFormat="1" ht="73.5" customHeight="1" thickBot="1" x14ac:dyDescent="0.3">
      <c r="A135" s="346" t="s">
        <v>260</v>
      </c>
      <c r="B135" s="347" t="s">
        <v>74</v>
      </c>
      <c r="C135" s="348" t="s">
        <v>22</v>
      </c>
      <c r="D135" s="349">
        <v>755</v>
      </c>
      <c r="E135" s="239" t="s">
        <v>30</v>
      </c>
      <c r="F135" s="238">
        <v>5226210</v>
      </c>
      <c r="G135" s="287" t="s">
        <v>17</v>
      </c>
      <c r="H135" s="189">
        <v>80</v>
      </c>
      <c r="I135" s="189">
        <v>0</v>
      </c>
      <c r="J135" s="189">
        <v>0</v>
      </c>
      <c r="K135" s="189">
        <v>0</v>
      </c>
      <c r="L135" s="189">
        <v>0</v>
      </c>
      <c r="M135" s="189">
        <v>0</v>
      </c>
      <c r="N135" s="189">
        <v>0</v>
      </c>
      <c r="O135" s="189">
        <v>0</v>
      </c>
      <c r="P135" s="189">
        <f>SUM(H135:O135)</f>
        <v>80</v>
      </c>
      <c r="Q135" s="207"/>
      <c r="R135" s="208"/>
      <c r="S135" s="208"/>
      <c r="T135" s="208"/>
      <c r="U135" s="208"/>
      <c r="V135" s="208"/>
    </row>
    <row r="136" spans="1:22" s="223" customFormat="1" ht="35.1" customHeight="1" thickBot="1" x14ac:dyDescent="0.3">
      <c r="A136" s="436" t="s">
        <v>131</v>
      </c>
      <c r="B136" s="438" t="s">
        <v>297</v>
      </c>
      <c r="C136" s="258" t="s">
        <v>27</v>
      </c>
      <c r="D136" s="177" t="s">
        <v>291</v>
      </c>
      <c r="E136" s="177" t="s">
        <v>291</v>
      </c>
      <c r="F136" s="177" t="s">
        <v>291</v>
      </c>
      <c r="G136" s="177" t="s">
        <v>291</v>
      </c>
      <c r="H136" s="195">
        <f>SUM(H137:H138)</f>
        <v>1580</v>
      </c>
      <c r="I136" s="350">
        <f t="shared" ref="I136:J136" si="41">SUM(I137:I138)</f>
        <v>0</v>
      </c>
      <c r="J136" s="350">
        <f t="shared" si="41"/>
        <v>0</v>
      </c>
      <c r="K136" s="193">
        <f>K141</f>
        <v>0</v>
      </c>
      <c r="L136" s="193">
        <f>L141</f>
        <v>0</v>
      </c>
      <c r="M136" s="193">
        <f>M141</f>
        <v>0</v>
      </c>
      <c r="N136" s="193">
        <f>N141</f>
        <v>0</v>
      </c>
      <c r="O136" s="193">
        <f>O141</f>
        <v>0</v>
      </c>
      <c r="P136" s="193">
        <f>SUM(H136:O136)</f>
        <v>1580</v>
      </c>
      <c r="Q136" s="207"/>
      <c r="R136" s="208"/>
      <c r="S136" s="208"/>
      <c r="T136" s="208"/>
      <c r="U136" s="208"/>
      <c r="V136" s="208"/>
    </row>
    <row r="137" spans="1:22" s="223" customFormat="1" ht="51.75" customHeight="1" x14ac:dyDescent="0.25">
      <c r="A137" s="435"/>
      <c r="B137" s="439"/>
      <c r="C137" s="438" t="s">
        <v>368</v>
      </c>
      <c r="D137" s="351" t="s">
        <v>38</v>
      </c>
      <c r="E137" s="305" t="s">
        <v>291</v>
      </c>
      <c r="F137" s="304" t="s">
        <v>291</v>
      </c>
      <c r="G137" s="305" t="s">
        <v>291</v>
      </c>
      <c r="H137" s="145">
        <f>SUM(H139:H141)</f>
        <v>1580</v>
      </c>
      <c r="I137" s="145">
        <f>SUM(I139:I141)</f>
        <v>0</v>
      </c>
      <c r="J137" s="145">
        <f>SUM(J139:J141)</f>
        <v>0</v>
      </c>
      <c r="K137" s="140"/>
      <c r="L137" s="140"/>
      <c r="M137" s="140"/>
      <c r="N137" s="140"/>
      <c r="O137" s="140"/>
      <c r="P137" s="445">
        <f>SUM(H137:O138)</f>
        <v>1580</v>
      </c>
      <c r="Q137" s="207"/>
      <c r="R137" s="208"/>
      <c r="S137" s="208"/>
      <c r="T137" s="208"/>
      <c r="U137" s="208"/>
      <c r="V137" s="208"/>
    </row>
    <row r="138" spans="1:22" s="223" customFormat="1" ht="51.75" customHeight="1" thickBot="1" x14ac:dyDescent="0.3">
      <c r="A138" s="437"/>
      <c r="B138" s="440"/>
      <c r="C138" s="440"/>
      <c r="D138" s="352">
        <v>784</v>
      </c>
      <c r="E138" s="281" t="s">
        <v>291</v>
      </c>
      <c r="F138" s="249">
        <v>1130300000</v>
      </c>
      <c r="G138" s="281" t="s">
        <v>291</v>
      </c>
      <c r="H138" s="226"/>
      <c r="I138" s="226"/>
      <c r="J138" s="226"/>
      <c r="K138" s="122">
        <f t="shared" ref="K138" si="42">SUM(K139:K141)</f>
        <v>0</v>
      </c>
      <c r="L138" s="122">
        <f t="shared" ref="L138" si="43">SUM(L139:L141)</f>
        <v>0</v>
      </c>
      <c r="M138" s="122">
        <f t="shared" ref="M138:N138" si="44">SUM(M139:M141)</f>
        <v>0</v>
      </c>
      <c r="N138" s="122">
        <f t="shared" si="44"/>
        <v>0</v>
      </c>
      <c r="O138" s="122">
        <f t="shared" ref="O138" si="45">SUM(O139:O141)</f>
        <v>0</v>
      </c>
      <c r="P138" s="446"/>
      <c r="Q138" s="207"/>
      <c r="R138" s="208"/>
      <c r="S138" s="208"/>
      <c r="T138" s="208"/>
      <c r="U138" s="208"/>
      <c r="V138" s="208"/>
    </row>
    <row r="139" spans="1:22" s="218" customFormat="1" ht="30" customHeight="1" x14ac:dyDescent="0.25">
      <c r="A139" s="436" t="s">
        <v>211</v>
      </c>
      <c r="B139" s="449" t="s">
        <v>105</v>
      </c>
      <c r="C139" s="449" t="s">
        <v>179</v>
      </c>
      <c r="D139" s="319">
        <v>784</v>
      </c>
      <c r="E139" s="334" t="s">
        <v>18</v>
      </c>
      <c r="F139" s="319">
        <v>5221020</v>
      </c>
      <c r="G139" s="334" t="s">
        <v>17</v>
      </c>
      <c r="H139" s="153">
        <v>1580</v>
      </c>
      <c r="I139" s="155"/>
      <c r="J139" s="155"/>
      <c r="K139" s="155"/>
      <c r="L139" s="155"/>
      <c r="M139" s="155"/>
      <c r="N139" s="155"/>
      <c r="O139" s="155"/>
      <c r="P139" s="474">
        <f>SUM(H139:O141)</f>
        <v>1580</v>
      </c>
      <c r="Q139" s="207"/>
      <c r="R139" s="208"/>
      <c r="S139" s="208"/>
      <c r="T139" s="208"/>
      <c r="U139" s="208"/>
      <c r="V139" s="208"/>
    </row>
    <row r="140" spans="1:22" s="218" customFormat="1" ht="30" customHeight="1" x14ac:dyDescent="0.25">
      <c r="A140" s="435"/>
      <c r="B140" s="444"/>
      <c r="C140" s="444"/>
      <c r="D140" s="320">
        <v>784</v>
      </c>
      <c r="E140" s="325" t="s">
        <v>18</v>
      </c>
      <c r="F140" s="320">
        <v>1132047</v>
      </c>
      <c r="G140" s="320">
        <v>244</v>
      </c>
      <c r="H140" s="132"/>
      <c r="I140" s="132">
        <f>158-158</f>
        <v>0</v>
      </c>
      <c r="J140" s="132">
        <f>158-158</f>
        <v>0</v>
      </c>
      <c r="K140" s="132"/>
      <c r="L140" s="132"/>
      <c r="M140" s="132"/>
      <c r="N140" s="132"/>
      <c r="O140" s="132"/>
      <c r="P140" s="468"/>
      <c r="Q140" s="207"/>
      <c r="R140" s="208"/>
      <c r="S140" s="208"/>
      <c r="T140" s="208"/>
      <c r="U140" s="208"/>
      <c r="V140" s="208"/>
    </row>
    <row r="141" spans="1:22" s="353" customFormat="1" ht="30" customHeight="1" thickBot="1" x14ac:dyDescent="0.3">
      <c r="A141" s="437"/>
      <c r="B141" s="450"/>
      <c r="C141" s="450"/>
      <c r="D141" s="328">
        <v>784</v>
      </c>
      <c r="E141" s="327" t="s">
        <v>18</v>
      </c>
      <c r="F141" s="328">
        <v>1130320470</v>
      </c>
      <c r="G141" s="328">
        <v>244</v>
      </c>
      <c r="H141" s="130"/>
      <c r="I141" s="130"/>
      <c r="J141" s="130"/>
      <c r="K141" s="130">
        <f>158-158</f>
        <v>0</v>
      </c>
      <c r="L141" s="130">
        <v>0</v>
      </c>
      <c r="M141" s="130">
        <v>0</v>
      </c>
      <c r="N141" s="130">
        <v>0</v>
      </c>
      <c r="O141" s="130">
        <v>0</v>
      </c>
      <c r="P141" s="475"/>
      <c r="Q141" s="208"/>
      <c r="R141" s="208"/>
      <c r="S141" s="208"/>
      <c r="T141" s="208"/>
      <c r="U141" s="208"/>
      <c r="V141" s="208"/>
    </row>
    <row r="142" spans="1:22" s="218" customFormat="1" ht="34.5" customHeight="1" thickBot="1" x14ac:dyDescent="0.3">
      <c r="A142" s="441" t="s">
        <v>26</v>
      </c>
      <c r="B142" s="438" t="s">
        <v>140</v>
      </c>
      <c r="C142" s="258" t="s">
        <v>27</v>
      </c>
      <c r="D142" s="258">
        <v>755</v>
      </c>
      <c r="E142" s="177" t="s">
        <v>291</v>
      </c>
      <c r="F142" s="177" t="s">
        <v>291</v>
      </c>
      <c r="G142" s="278" t="s">
        <v>291</v>
      </c>
      <c r="H142" s="127">
        <f>H146+H158</f>
        <v>41082.01</v>
      </c>
      <c r="I142" s="127">
        <f>I146+I158</f>
        <v>42584.61</v>
      </c>
      <c r="J142" s="127">
        <f>J146+J158</f>
        <v>183473.39</v>
      </c>
      <c r="K142" s="127">
        <f t="shared" ref="K142:O142" si="46">K145+K157</f>
        <v>212034.97</v>
      </c>
      <c r="L142" s="127">
        <f>L145+L157</f>
        <v>334267.92</v>
      </c>
      <c r="M142" s="127">
        <f t="shared" si="46"/>
        <v>163825.69</v>
      </c>
      <c r="N142" s="127">
        <f t="shared" si="46"/>
        <v>163825.69</v>
      </c>
      <c r="O142" s="127">
        <f t="shared" si="46"/>
        <v>163825.69</v>
      </c>
      <c r="P142" s="127">
        <f>SUM(H142:O142)</f>
        <v>1304919.97</v>
      </c>
      <c r="Q142" s="207"/>
      <c r="R142" s="208"/>
      <c r="S142" s="208"/>
      <c r="T142" s="208"/>
      <c r="U142" s="208"/>
      <c r="V142" s="208"/>
    </row>
    <row r="143" spans="1:22" s="223" customFormat="1" ht="40.5" customHeight="1" x14ac:dyDescent="0.25">
      <c r="A143" s="442"/>
      <c r="B143" s="439"/>
      <c r="C143" s="438" t="s">
        <v>22</v>
      </c>
      <c r="D143" s="272">
        <v>755</v>
      </c>
      <c r="E143" s="224" t="s">
        <v>291</v>
      </c>
      <c r="F143" s="272" t="s">
        <v>291</v>
      </c>
      <c r="G143" s="224" t="s">
        <v>291</v>
      </c>
      <c r="H143" s="145">
        <f>H146+H158</f>
        <v>41082.01</v>
      </c>
      <c r="I143" s="145">
        <f>I146+I158</f>
        <v>42584.61</v>
      </c>
      <c r="J143" s="145">
        <f>J146+J158</f>
        <v>183473.39</v>
      </c>
      <c r="K143" s="145"/>
      <c r="L143" s="145"/>
      <c r="M143" s="145"/>
      <c r="N143" s="145"/>
      <c r="O143" s="145"/>
      <c r="P143" s="447">
        <f>SUM(H143:O144)</f>
        <v>1304919.97</v>
      </c>
      <c r="Q143" s="207"/>
      <c r="R143" s="208"/>
      <c r="S143" s="208"/>
      <c r="T143" s="208"/>
      <c r="U143" s="208"/>
      <c r="V143" s="208"/>
    </row>
    <row r="144" spans="1:22" s="223" customFormat="1" ht="42" customHeight="1" thickBot="1" x14ac:dyDescent="0.3">
      <c r="A144" s="443"/>
      <c r="B144" s="440"/>
      <c r="C144" s="440"/>
      <c r="D144" s="249">
        <v>755</v>
      </c>
      <c r="E144" s="248" t="s">
        <v>291</v>
      </c>
      <c r="F144" s="249">
        <v>1140000000</v>
      </c>
      <c r="G144" s="248" t="s">
        <v>291</v>
      </c>
      <c r="H144" s="226"/>
      <c r="I144" s="226"/>
      <c r="J144" s="226"/>
      <c r="K144" s="122">
        <f>K145+K157</f>
        <v>212034.97</v>
      </c>
      <c r="L144" s="122">
        <f>L145+L157</f>
        <v>334267.92</v>
      </c>
      <c r="M144" s="122">
        <f t="shared" ref="M144:O144" si="47">M145+M157</f>
        <v>163825.69</v>
      </c>
      <c r="N144" s="122">
        <f t="shared" si="47"/>
        <v>163825.69</v>
      </c>
      <c r="O144" s="122">
        <f t="shared" si="47"/>
        <v>163825.69</v>
      </c>
      <c r="P144" s="448"/>
      <c r="Q144" s="207"/>
      <c r="R144" s="208"/>
      <c r="S144" s="208"/>
      <c r="T144" s="208"/>
      <c r="U144" s="208"/>
      <c r="V144" s="208"/>
    </row>
    <row r="145" spans="1:22" s="218" customFormat="1" ht="34.5" customHeight="1" thickBot="1" x14ac:dyDescent="0.3">
      <c r="A145" s="441" t="s">
        <v>2</v>
      </c>
      <c r="B145" s="438" t="s">
        <v>298</v>
      </c>
      <c r="C145" s="258" t="s">
        <v>27</v>
      </c>
      <c r="D145" s="258" t="s">
        <v>291</v>
      </c>
      <c r="E145" s="177" t="s">
        <v>291</v>
      </c>
      <c r="F145" s="177" t="s">
        <v>291</v>
      </c>
      <c r="G145" s="177" t="s">
        <v>291</v>
      </c>
      <c r="H145" s="127">
        <f>SUM(H146:H147)</f>
        <v>41082.01</v>
      </c>
      <c r="I145" s="127">
        <f t="shared" ref="I145:J145" si="48">SUM(I146:I147)</f>
        <v>39011.83</v>
      </c>
      <c r="J145" s="127">
        <f t="shared" si="48"/>
        <v>33744.9</v>
      </c>
      <c r="K145" s="127">
        <f>K150+K154+K156+K153+K155</f>
        <v>35789.519999999997</v>
      </c>
      <c r="L145" s="127">
        <f>L150+L155+L154+L156+L153</f>
        <v>29812.44</v>
      </c>
      <c r="M145" s="127">
        <f t="shared" ref="M145:O145" si="49">M150+M155+M154+M156</f>
        <v>28529.72</v>
      </c>
      <c r="N145" s="127">
        <f t="shared" si="49"/>
        <v>28529.72</v>
      </c>
      <c r="O145" s="127">
        <f t="shared" si="49"/>
        <v>28529.72</v>
      </c>
      <c r="P145" s="127">
        <f>SUM(H145:O145)</f>
        <v>265029.86</v>
      </c>
      <c r="Q145" s="207"/>
      <c r="R145" s="208"/>
      <c r="S145" s="208"/>
      <c r="T145" s="208"/>
      <c r="U145" s="208"/>
      <c r="V145" s="208"/>
    </row>
    <row r="146" spans="1:22" s="223" customFormat="1" ht="40.5" customHeight="1" x14ac:dyDescent="0.25">
      <c r="A146" s="442"/>
      <c r="B146" s="439"/>
      <c r="C146" s="487" t="s">
        <v>22</v>
      </c>
      <c r="D146" s="224" t="s">
        <v>35</v>
      </c>
      <c r="E146" s="305" t="s">
        <v>291</v>
      </c>
      <c r="F146" s="304" t="s">
        <v>291</v>
      </c>
      <c r="G146" s="305" t="s">
        <v>291</v>
      </c>
      <c r="H146" s="145">
        <f>SUM(H148:H156)</f>
        <v>41082.01</v>
      </c>
      <c r="I146" s="145">
        <f>SUM(I148:I156)</f>
        <v>39011.83</v>
      </c>
      <c r="J146" s="145">
        <f>SUM(J148:J156)</f>
        <v>33744.9</v>
      </c>
      <c r="K146" s="145"/>
      <c r="L146" s="145"/>
      <c r="M146" s="145"/>
      <c r="N146" s="145"/>
      <c r="O146" s="145"/>
      <c r="P146" s="447">
        <f>SUM(H146:O147)</f>
        <v>265029.86</v>
      </c>
      <c r="Q146" s="207"/>
      <c r="R146" s="208"/>
      <c r="S146" s="208"/>
      <c r="T146" s="208"/>
      <c r="U146" s="208"/>
      <c r="V146" s="208"/>
    </row>
    <row r="147" spans="1:22" s="223" customFormat="1" ht="43.5" customHeight="1" thickBot="1" x14ac:dyDescent="0.3">
      <c r="A147" s="443"/>
      <c r="B147" s="440"/>
      <c r="C147" s="488"/>
      <c r="D147" s="248" t="s">
        <v>35</v>
      </c>
      <c r="E147" s="281" t="s">
        <v>291</v>
      </c>
      <c r="F147" s="249">
        <v>1140100000</v>
      </c>
      <c r="G147" s="281" t="s">
        <v>291</v>
      </c>
      <c r="H147" s="226"/>
      <c r="I147" s="226"/>
      <c r="J147" s="226"/>
      <c r="K147" s="122">
        <f>SUM(K148:K156)</f>
        <v>35789.519999999997</v>
      </c>
      <c r="L147" s="122">
        <f>SUM(L148:L156)</f>
        <v>29812.44</v>
      </c>
      <c r="M147" s="122">
        <f t="shared" ref="M147:O147" si="50">SUM(M148:M156)</f>
        <v>28529.72</v>
      </c>
      <c r="N147" s="122">
        <f t="shared" si="50"/>
        <v>28529.72</v>
      </c>
      <c r="O147" s="122">
        <f t="shared" si="50"/>
        <v>28529.72</v>
      </c>
      <c r="P147" s="448"/>
      <c r="Q147" s="207"/>
      <c r="R147" s="208"/>
      <c r="S147" s="208"/>
      <c r="T147" s="208"/>
      <c r="U147" s="208"/>
      <c r="V147" s="208"/>
    </row>
    <row r="148" spans="1:22" s="218" customFormat="1" ht="35.1" customHeight="1" x14ac:dyDescent="0.25">
      <c r="A148" s="436" t="s">
        <v>212</v>
      </c>
      <c r="B148" s="449" t="s">
        <v>69</v>
      </c>
      <c r="C148" s="449" t="s">
        <v>22</v>
      </c>
      <c r="D148" s="238">
        <v>755</v>
      </c>
      <c r="E148" s="239" t="s">
        <v>16</v>
      </c>
      <c r="F148" s="239" t="s">
        <v>70</v>
      </c>
      <c r="G148" s="287" t="s">
        <v>17</v>
      </c>
      <c r="H148" s="307">
        <v>39059.11</v>
      </c>
      <c r="I148" s="158"/>
      <c r="J148" s="158"/>
      <c r="K148" s="158"/>
      <c r="L148" s="158"/>
      <c r="M148" s="158"/>
      <c r="N148" s="158"/>
      <c r="O148" s="158"/>
      <c r="P148" s="468">
        <f>SUM(H148:O150)</f>
        <v>257090.07</v>
      </c>
      <c r="Q148" s="207"/>
      <c r="R148" s="208"/>
      <c r="S148" s="208"/>
      <c r="T148" s="208"/>
      <c r="U148" s="208"/>
      <c r="V148" s="208"/>
    </row>
    <row r="149" spans="1:22" s="218" customFormat="1" ht="60" customHeight="1" x14ac:dyDescent="0.25">
      <c r="A149" s="435"/>
      <c r="B149" s="444"/>
      <c r="C149" s="444"/>
      <c r="D149" s="250">
        <v>755</v>
      </c>
      <c r="E149" s="251" t="s">
        <v>16</v>
      </c>
      <c r="F149" s="250">
        <v>1141003</v>
      </c>
      <c r="G149" s="354" t="s">
        <v>369</v>
      </c>
      <c r="H149" s="132"/>
      <c r="I149" s="132">
        <f>41893.5-2881.67</f>
        <v>39011.83</v>
      </c>
      <c r="J149" s="132">
        <v>32462.18</v>
      </c>
      <c r="K149" s="132"/>
      <c r="L149" s="132"/>
      <c r="M149" s="132"/>
      <c r="N149" s="132"/>
      <c r="O149" s="132"/>
      <c r="P149" s="468"/>
      <c r="Q149" s="207"/>
      <c r="R149" s="208"/>
      <c r="S149" s="208"/>
      <c r="T149" s="208"/>
      <c r="U149" s="208"/>
      <c r="V149" s="208"/>
    </row>
    <row r="150" spans="1:22" s="218" customFormat="1" ht="62.25" customHeight="1" thickBot="1" x14ac:dyDescent="0.3">
      <c r="A150" s="437"/>
      <c r="B150" s="444"/>
      <c r="C150" s="444"/>
      <c r="D150" s="241">
        <v>755</v>
      </c>
      <c r="E150" s="242" t="s">
        <v>16</v>
      </c>
      <c r="F150" s="241">
        <v>1140110030</v>
      </c>
      <c r="G150" s="355" t="s">
        <v>369</v>
      </c>
      <c r="H150" s="129"/>
      <c r="I150" s="129"/>
      <c r="J150" s="129"/>
      <c r="K150" s="129">
        <f>29523.32-3.699+964.516+353.932+1575+475</f>
        <v>32888.07</v>
      </c>
      <c r="L150" s="129">
        <f>28429.72-50</f>
        <v>28379.72</v>
      </c>
      <c r="M150" s="129">
        <v>28429.72</v>
      </c>
      <c r="N150" s="129">
        <v>28429.72</v>
      </c>
      <c r="O150" s="129">
        <v>28429.72</v>
      </c>
      <c r="P150" s="468"/>
      <c r="Q150" s="207"/>
      <c r="R150" s="208"/>
      <c r="S150" s="208"/>
      <c r="T150" s="208"/>
      <c r="U150" s="208"/>
      <c r="V150" s="208"/>
    </row>
    <row r="151" spans="1:22" s="358" customFormat="1" ht="34.5" customHeight="1" x14ac:dyDescent="0.25">
      <c r="A151" s="436" t="s">
        <v>213</v>
      </c>
      <c r="B151" s="449" t="s">
        <v>71</v>
      </c>
      <c r="C151" s="449" t="s">
        <v>22</v>
      </c>
      <c r="D151" s="231">
        <v>755</v>
      </c>
      <c r="E151" s="230" t="s">
        <v>16</v>
      </c>
      <c r="F151" s="230" t="s">
        <v>72</v>
      </c>
      <c r="G151" s="230" t="s">
        <v>17</v>
      </c>
      <c r="H151" s="297">
        <v>2022.9</v>
      </c>
      <c r="I151" s="155"/>
      <c r="J151" s="155"/>
      <c r="K151" s="155"/>
      <c r="L151" s="155"/>
      <c r="M151" s="155"/>
      <c r="N151" s="155"/>
      <c r="O151" s="155"/>
      <c r="P151" s="471">
        <f>SUM(H151:O154)</f>
        <v>5939.79</v>
      </c>
      <c r="Q151" s="356"/>
      <c r="R151" s="357"/>
      <c r="S151" s="357"/>
      <c r="T151" s="357"/>
      <c r="U151" s="357"/>
      <c r="V151" s="357"/>
    </row>
    <row r="152" spans="1:22" s="358" customFormat="1" ht="34.5" customHeight="1" x14ac:dyDescent="0.25">
      <c r="A152" s="435"/>
      <c r="B152" s="444"/>
      <c r="C152" s="444"/>
      <c r="D152" s="238">
        <v>755</v>
      </c>
      <c r="E152" s="239" t="s">
        <v>16</v>
      </c>
      <c r="F152" s="239" t="s">
        <v>111</v>
      </c>
      <c r="G152" s="287" t="s">
        <v>28</v>
      </c>
      <c r="H152" s="161"/>
      <c r="I152" s="161">
        <v>0</v>
      </c>
      <c r="J152" s="161">
        <f>0+1282.72</f>
        <v>1282.72</v>
      </c>
      <c r="K152" s="161"/>
      <c r="L152" s="161"/>
      <c r="M152" s="161"/>
      <c r="N152" s="161"/>
      <c r="O152" s="161"/>
      <c r="P152" s="459"/>
      <c r="Q152" s="356"/>
      <c r="R152" s="357"/>
      <c r="S152" s="357"/>
      <c r="T152" s="357"/>
      <c r="U152" s="357"/>
      <c r="V152" s="357"/>
    </row>
    <row r="153" spans="1:22" s="358" customFormat="1" ht="34.5" customHeight="1" x14ac:dyDescent="0.25">
      <c r="A153" s="435"/>
      <c r="B153" s="444"/>
      <c r="C153" s="444"/>
      <c r="D153" s="250">
        <v>755</v>
      </c>
      <c r="E153" s="251" t="s">
        <v>16</v>
      </c>
      <c r="F153" s="251" t="s">
        <v>187</v>
      </c>
      <c r="G153" s="290" t="s">
        <v>112</v>
      </c>
      <c r="H153" s="161"/>
      <c r="I153" s="301"/>
      <c r="J153" s="301"/>
      <c r="K153" s="301">
        <f>15.02777+3.699</f>
        <v>18.73</v>
      </c>
      <c r="L153" s="301">
        <f>50</f>
        <v>50</v>
      </c>
      <c r="M153" s="301"/>
      <c r="N153" s="301"/>
      <c r="O153" s="301"/>
      <c r="P153" s="459"/>
      <c r="Q153" s="356"/>
      <c r="R153" s="357"/>
      <c r="S153" s="357"/>
      <c r="T153" s="357"/>
      <c r="U153" s="357"/>
      <c r="V153" s="357"/>
    </row>
    <row r="154" spans="1:22" s="358" customFormat="1" ht="34.5" customHeight="1" thickBot="1" x14ac:dyDescent="0.3">
      <c r="A154" s="437"/>
      <c r="B154" s="450"/>
      <c r="C154" s="450"/>
      <c r="D154" s="284">
        <v>755</v>
      </c>
      <c r="E154" s="269" t="s">
        <v>16</v>
      </c>
      <c r="F154" s="269" t="s">
        <v>187</v>
      </c>
      <c r="G154" s="359" t="s">
        <v>28</v>
      </c>
      <c r="H154" s="179"/>
      <c r="I154" s="128"/>
      <c r="J154" s="128"/>
      <c r="K154" s="128">
        <f>0+1282.72</f>
        <v>1282.72</v>
      </c>
      <c r="L154" s="128">
        <f>0+1282.72</f>
        <v>1282.72</v>
      </c>
      <c r="M154" s="128">
        <v>0</v>
      </c>
      <c r="N154" s="128">
        <v>0</v>
      </c>
      <c r="O154" s="128">
        <v>0</v>
      </c>
      <c r="P154" s="492"/>
      <c r="Q154" s="356"/>
      <c r="R154" s="357"/>
      <c r="S154" s="357"/>
      <c r="T154" s="357"/>
      <c r="U154" s="357"/>
      <c r="V154" s="357"/>
    </row>
    <row r="155" spans="1:22" s="218" customFormat="1" ht="78.75" customHeight="1" thickBot="1" x14ac:dyDescent="0.3">
      <c r="A155" s="222" t="s">
        <v>257</v>
      </c>
      <c r="B155" s="330" t="s">
        <v>410</v>
      </c>
      <c r="C155" s="330" t="s">
        <v>22</v>
      </c>
      <c r="D155" s="284">
        <v>755</v>
      </c>
      <c r="E155" s="269" t="s">
        <v>19</v>
      </c>
      <c r="F155" s="269" t="s">
        <v>258</v>
      </c>
      <c r="G155" s="360" t="s">
        <v>28</v>
      </c>
      <c r="H155" s="163"/>
      <c r="I155" s="163"/>
      <c r="J155" s="163"/>
      <c r="K155" s="163">
        <v>100</v>
      </c>
      <c r="L155" s="163">
        <v>100</v>
      </c>
      <c r="M155" s="163">
        <v>100</v>
      </c>
      <c r="N155" s="163">
        <v>100</v>
      </c>
      <c r="O155" s="163">
        <v>100</v>
      </c>
      <c r="P155" s="163">
        <f>SUM(H155:O155)</f>
        <v>500</v>
      </c>
      <c r="Q155" s="207"/>
      <c r="R155" s="208"/>
      <c r="S155" s="208"/>
      <c r="T155" s="208"/>
      <c r="U155" s="208"/>
      <c r="V155" s="208"/>
    </row>
    <row r="156" spans="1:22" s="218" customFormat="1" ht="81.75" customHeight="1" thickBot="1" x14ac:dyDescent="0.3">
      <c r="A156" s="222" t="s">
        <v>339</v>
      </c>
      <c r="B156" s="330" t="s">
        <v>344</v>
      </c>
      <c r="C156" s="330" t="s">
        <v>22</v>
      </c>
      <c r="D156" s="284">
        <v>755</v>
      </c>
      <c r="E156" s="269" t="s">
        <v>19</v>
      </c>
      <c r="F156" s="269" t="s">
        <v>345</v>
      </c>
      <c r="G156" s="360" t="s">
        <v>28</v>
      </c>
      <c r="H156" s="163"/>
      <c r="I156" s="163"/>
      <c r="J156" s="163"/>
      <c r="K156" s="163">
        <v>1500</v>
      </c>
      <c r="L156" s="163"/>
      <c r="M156" s="163"/>
      <c r="N156" s="163"/>
      <c r="O156" s="163"/>
      <c r="P156" s="163">
        <f>SUM(H156:O156)</f>
        <v>1500</v>
      </c>
      <c r="Q156" s="207"/>
      <c r="R156" s="208"/>
      <c r="S156" s="208"/>
      <c r="T156" s="208"/>
      <c r="U156" s="208"/>
      <c r="V156" s="208"/>
    </row>
    <row r="157" spans="1:22" s="223" customFormat="1" ht="34.5" customHeight="1" thickBot="1" x14ac:dyDescent="0.3">
      <c r="A157" s="436" t="s">
        <v>3</v>
      </c>
      <c r="B157" s="438" t="s">
        <v>299</v>
      </c>
      <c r="C157" s="258" t="s">
        <v>27</v>
      </c>
      <c r="D157" s="258" t="s">
        <v>291</v>
      </c>
      <c r="E157" s="177" t="s">
        <v>291</v>
      </c>
      <c r="F157" s="177" t="s">
        <v>291</v>
      </c>
      <c r="G157" s="177" t="s">
        <v>291</v>
      </c>
      <c r="H157" s="164">
        <f>SUM(H158:H159)</f>
        <v>0</v>
      </c>
      <c r="I157" s="164">
        <f t="shared" ref="I157:J157" si="51">SUM(I158:I159)</f>
        <v>3572.78</v>
      </c>
      <c r="J157" s="164">
        <f t="shared" si="51"/>
        <v>149728.49</v>
      </c>
      <c r="K157" s="164">
        <f>ROUND(K160,2)</f>
        <v>176245.45</v>
      </c>
      <c r="L157" s="164">
        <f>L160</f>
        <v>304455.48</v>
      </c>
      <c r="M157" s="164">
        <f t="shared" ref="M157:O157" si="52">M160</f>
        <v>135295.97</v>
      </c>
      <c r="N157" s="164">
        <f t="shared" si="52"/>
        <v>135295.97</v>
      </c>
      <c r="O157" s="164">
        <f t="shared" si="52"/>
        <v>135295.97</v>
      </c>
      <c r="P157" s="164">
        <f>SUM(H157:O157)</f>
        <v>1039890.11</v>
      </c>
      <c r="Q157" s="207"/>
      <c r="R157" s="208"/>
      <c r="S157" s="208"/>
      <c r="T157" s="208"/>
      <c r="U157" s="208"/>
      <c r="V157" s="208"/>
    </row>
    <row r="158" spans="1:22" s="223" customFormat="1" ht="42" customHeight="1" x14ac:dyDescent="0.25">
      <c r="A158" s="435"/>
      <c r="B158" s="439"/>
      <c r="C158" s="451" t="s">
        <v>22</v>
      </c>
      <c r="D158" s="224" t="s">
        <v>35</v>
      </c>
      <c r="E158" s="305" t="s">
        <v>291</v>
      </c>
      <c r="F158" s="304" t="s">
        <v>291</v>
      </c>
      <c r="G158" s="305" t="s">
        <v>291</v>
      </c>
      <c r="H158" s="140">
        <f>SUM(H161:H164)</f>
        <v>0</v>
      </c>
      <c r="I158" s="140">
        <f>SUM(I161:I164)</f>
        <v>3572.78</v>
      </c>
      <c r="J158" s="140">
        <f>SUM(J161:J164)</f>
        <v>149728.49</v>
      </c>
      <c r="K158" s="140"/>
      <c r="L158" s="140"/>
      <c r="M158" s="140"/>
      <c r="N158" s="140"/>
      <c r="O158" s="140"/>
      <c r="P158" s="445">
        <f>SUM(H158:O159)</f>
        <v>1039890.11</v>
      </c>
      <c r="Q158" s="207"/>
      <c r="R158" s="208"/>
      <c r="S158" s="208"/>
      <c r="T158" s="208"/>
      <c r="U158" s="208"/>
      <c r="V158" s="208"/>
    </row>
    <row r="159" spans="1:22" s="223" customFormat="1" ht="42" customHeight="1" thickBot="1" x14ac:dyDescent="0.3">
      <c r="A159" s="437"/>
      <c r="B159" s="440"/>
      <c r="C159" s="452"/>
      <c r="D159" s="248" t="s">
        <v>35</v>
      </c>
      <c r="E159" s="281" t="s">
        <v>291</v>
      </c>
      <c r="F159" s="249">
        <v>1140200000</v>
      </c>
      <c r="G159" s="281" t="s">
        <v>291</v>
      </c>
      <c r="H159" s="226"/>
      <c r="I159" s="226"/>
      <c r="J159" s="226"/>
      <c r="K159" s="121">
        <f>SUM(K161:K164)</f>
        <v>176245.45</v>
      </c>
      <c r="L159" s="121">
        <f t="shared" ref="L159:O159" si="53">SUM(L161:L164)</f>
        <v>304455.48</v>
      </c>
      <c r="M159" s="121">
        <f t="shared" si="53"/>
        <v>135295.97</v>
      </c>
      <c r="N159" s="121">
        <f t="shared" si="53"/>
        <v>135295.97</v>
      </c>
      <c r="O159" s="121">
        <f t="shared" si="53"/>
        <v>135295.97</v>
      </c>
      <c r="P159" s="446"/>
      <c r="Q159" s="207"/>
      <c r="R159" s="208"/>
      <c r="S159" s="208"/>
      <c r="T159" s="208"/>
      <c r="U159" s="208"/>
      <c r="V159" s="208"/>
    </row>
    <row r="160" spans="1:22" s="218" customFormat="1" ht="162.75" customHeight="1" thickBot="1" x14ac:dyDescent="0.3">
      <c r="A160" s="258" t="s">
        <v>214</v>
      </c>
      <c r="B160" s="282" t="s">
        <v>308</v>
      </c>
      <c r="C160" s="175" t="s">
        <v>22</v>
      </c>
      <c r="D160" s="228">
        <v>755</v>
      </c>
      <c r="E160" s="176" t="s">
        <v>291</v>
      </c>
      <c r="F160" s="228" t="s">
        <v>291</v>
      </c>
      <c r="G160" s="176" t="s">
        <v>291</v>
      </c>
      <c r="H160" s="120">
        <f>SUM(H161:H164)</f>
        <v>0</v>
      </c>
      <c r="I160" s="120">
        <f t="shared" ref="I160:O160" si="54">SUM(I161:I164)</f>
        <v>3572.78</v>
      </c>
      <c r="J160" s="120">
        <f t="shared" si="54"/>
        <v>149728.49</v>
      </c>
      <c r="K160" s="120">
        <f>SUM(K161:K164)</f>
        <v>176245.45</v>
      </c>
      <c r="L160" s="120">
        <f t="shared" si="54"/>
        <v>304455.48</v>
      </c>
      <c r="M160" s="120">
        <f t="shared" si="54"/>
        <v>135295.97</v>
      </c>
      <c r="N160" s="120">
        <f t="shared" si="54"/>
        <v>135295.97</v>
      </c>
      <c r="O160" s="120">
        <f t="shared" si="54"/>
        <v>135295.97</v>
      </c>
      <c r="P160" s="120">
        <f>SUM(H160:O160)</f>
        <v>1039890.11</v>
      </c>
      <c r="Q160" s="207"/>
      <c r="R160" s="208"/>
      <c r="S160" s="208"/>
      <c r="T160" s="208"/>
      <c r="U160" s="208"/>
      <c r="V160" s="208"/>
    </row>
    <row r="161" spans="1:22" s="218" customFormat="1" ht="54" customHeight="1" x14ac:dyDescent="0.25">
      <c r="A161" s="435" t="s">
        <v>215</v>
      </c>
      <c r="B161" s="444" t="s">
        <v>363</v>
      </c>
      <c r="C161" s="449" t="s">
        <v>22</v>
      </c>
      <c r="D161" s="238">
        <v>755</v>
      </c>
      <c r="E161" s="239" t="s">
        <v>19</v>
      </c>
      <c r="F161" s="239" t="s">
        <v>101</v>
      </c>
      <c r="G161" s="287" t="s">
        <v>78</v>
      </c>
      <c r="H161" s="197">
        <v>0</v>
      </c>
      <c r="I161" s="197">
        <v>3522.78</v>
      </c>
      <c r="J161" s="197">
        <f>57638.33+97300-1282.72-19675.2+7302.04644-9449.07152-238.89434-2186.53208-456.9356-1655.47602-925.05+158+5000-0.01</f>
        <v>131528.49</v>
      </c>
      <c r="K161" s="143"/>
      <c r="L161" s="143"/>
      <c r="M161" s="143"/>
      <c r="N161" s="143"/>
      <c r="O161" s="143"/>
      <c r="P161" s="459">
        <f>SUM(H161:O162)</f>
        <v>1009140.11</v>
      </c>
      <c r="Q161" s="207"/>
      <c r="R161" s="208"/>
      <c r="S161" s="208"/>
      <c r="T161" s="208"/>
      <c r="U161" s="208"/>
      <c r="V161" s="208"/>
    </row>
    <row r="162" spans="1:22" s="218" customFormat="1" ht="51" customHeight="1" thickBot="1" x14ac:dyDescent="0.3">
      <c r="A162" s="435"/>
      <c r="B162" s="444"/>
      <c r="C162" s="450"/>
      <c r="D162" s="361">
        <v>755</v>
      </c>
      <c r="E162" s="221" t="s">
        <v>19</v>
      </c>
      <c r="F162" s="221" t="s">
        <v>188</v>
      </c>
      <c r="G162" s="362" t="s">
        <v>78</v>
      </c>
      <c r="H162" s="126"/>
      <c r="I162" s="126"/>
      <c r="J162" s="126"/>
      <c r="K162" s="126">
        <f>ROUND(193964.16-44387.46-2834.721-15.02777+158-1500+700+461.15-461.15+2000+15199.344+461.15,2)</f>
        <v>163745.45000000001</v>
      </c>
      <c r="L162" s="126">
        <f>285250.09+3746.27+520+13414.12+1525</f>
        <v>304455.48</v>
      </c>
      <c r="M162" s="126">
        <v>135295.97</v>
      </c>
      <c r="N162" s="126">
        <v>135295.97</v>
      </c>
      <c r="O162" s="126">
        <v>135295.97</v>
      </c>
      <c r="P162" s="459"/>
      <c r="Q162" s="207"/>
      <c r="R162" s="208"/>
      <c r="S162" s="208"/>
      <c r="T162" s="208"/>
      <c r="U162" s="208"/>
      <c r="V162" s="208"/>
    </row>
    <row r="163" spans="1:22" s="218" customFormat="1" ht="58.5" customHeight="1" x14ac:dyDescent="0.25">
      <c r="A163" s="436" t="s">
        <v>216</v>
      </c>
      <c r="B163" s="449" t="s">
        <v>362</v>
      </c>
      <c r="C163" s="460" t="s">
        <v>22</v>
      </c>
      <c r="D163" s="231">
        <v>755</v>
      </c>
      <c r="E163" s="230" t="s">
        <v>19</v>
      </c>
      <c r="F163" s="230" t="s">
        <v>102</v>
      </c>
      <c r="G163" s="232" t="s">
        <v>65</v>
      </c>
      <c r="H163" s="297">
        <v>0</v>
      </c>
      <c r="I163" s="297">
        <v>50</v>
      </c>
      <c r="J163" s="297">
        <f>500+2700+15000</f>
        <v>18200</v>
      </c>
      <c r="K163" s="155"/>
      <c r="L163" s="155"/>
      <c r="M163" s="155"/>
      <c r="N163" s="155"/>
      <c r="O163" s="155"/>
      <c r="P163" s="471">
        <f>SUM(H163:O164)</f>
        <v>30750</v>
      </c>
      <c r="Q163" s="207"/>
      <c r="R163" s="208"/>
      <c r="S163" s="208"/>
      <c r="T163" s="208"/>
      <c r="U163" s="208"/>
      <c r="V163" s="208"/>
    </row>
    <row r="164" spans="1:22" s="218" customFormat="1" ht="52.5" customHeight="1" thickBot="1" x14ac:dyDescent="0.3">
      <c r="A164" s="437"/>
      <c r="B164" s="450"/>
      <c r="C164" s="461"/>
      <c r="D164" s="284">
        <v>755</v>
      </c>
      <c r="E164" s="269" t="s">
        <v>19</v>
      </c>
      <c r="F164" s="269" t="s">
        <v>189</v>
      </c>
      <c r="G164" s="359" t="s">
        <v>65</v>
      </c>
      <c r="H164" s="128"/>
      <c r="I164" s="128"/>
      <c r="J164" s="128"/>
      <c r="K164" s="128">
        <v>12500</v>
      </c>
      <c r="L164" s="128">
        <v>0</v>
      </c>
      <c r="M164" s="128">
        <v>0</v>
      </c>
      <c r="N164" s="128">
        <v>0</v>
      </c>
      <c r="O164" s="128">
        <v>0</v>
      </c>
      <c r="P164" s="492"/>
      <c r="Q164" s="207"/>
      <c r="R164" s="208"/>
      <c r="S164" s="208"/>
      <c r="T164" s="208"/>
      <c r="U164" s="208"/>
      <c r="V164" s="208"/>
    </row>
    <row r="165" spans="1:22" s="223" customFormat="1" ht="35.1" customHeight="1" thickBot="1" x14ac:dyDescent="0.3">
      <c r="A165" s="436" t="s">
        <v>261</v>
      </c>
      <c r="B165" s="438" t="s">
        <v>263</v>
      </c>
      <c r="C165" s="258" t="s">
        <v>27</v>
      </c>
      <c r="D165" s="363" t="s">
        <v>291</v>
      </c>
      <c r="E165" s="271" t="s">
        <v>291</v>
      </c>
      <c r="F165" s="271" t="s">
        <v>291</v>
      </c>
      <c r="G165" s="364" t="s">
        <v>291</v>
      </c>
      <c r="H165" s="193">
        <f t="shared" ref="H165" si="55">H176</f>
        <v>30400</v>
      </c>
      <c r="I165" s="193">
        <f>I177</f>
        <v>8384.1</v>
      </c>
      <c r="J165" s="193">
        <f>J177</f>
        <v>5565.64</v>
      </c>
      <c r="K165" s="193">
        <f>K172+K180+K192</f>
        <v>45000</v>
      </c>
      <c r="L165" s="193">
        <f>L172+L180+L192</f>
        <v>13080.37</v>
      </c>
      <c r="M165" s="193">
        <f>M172+M180+M192</f>
        <v>0</v>
      </c>
      <c r="N165" s="193">
        <f>N172+N180+N192</f>
        <v>0</v>
      </c>
      <c r="O165" s="193">
        <f>O172+O180+O192</f>
        <v>0</v>
      </c>
      <c r="P165" s="193">
        <f>SUM(H165:O165)</f>
        <v>102430.11</v>
      </c>
      <c r="Q165" s="207"/>
      <c r="R165" s="208"/>
      <c r="S165" s="208"/>
      <c r="T165" s="208"/>
      <c r="U165" s="208"/>
      <c r="V165" s="208"/>
    </row>
    <row r="166" spans="1:22" s="223" customFormat="1" ht="89.25" customHeight="1" thickBot="1" x14ac:dyDescent="0.3">
      <c r="A166" s="435"/>
      <c r="B166" s="439"/>
      <c r="C166" s="276" t="s">
        <v>157</v>
      </c>
      <c r="D166" s="258">
        <v>755</v>
      </c>
      <c r="E166" s="177" t="s">
        <v>291</v>
      </c>
      <c r="F166" s="177" t="s">
        <v>286</v>
      </c>
      <c r="G166" s="177" t="s">
        <v>291</v>
      </c>
      <c r="H166" s="365"/>
      <c r="I166" s="365"/>
      <c r="J166" s="365"/>
      <c r="K166" s="164">
        <f>K181+K192</f>
        <v>0</v>
      </c>
      <c r="L166" s="164">
        <f>L175+L181+L193</f>
        <v>8280.3700000000008</v>
      </c>
      <c r="M166" s="164">
        <f>M181+M192</f>
        <v>0</v>
      </c>
      <c r="N166" s="164">
        <f>N181+N192</f>
        <v>0</v>
      </c>
      <c r="O166" s="164">
        <f>O181+O192</f>
        <v>0</v>
      </c>
      <c r="P166" s="164">
        <f>SUM(K166:O166)</f>
        <v>8280.3700000000008</v>
      </c>
      <c r="Q166" s="207"/>
      <c r="R166" s="208"/>
      <c r="S166" s="208"/>
      <c r="T166" s="208"/>
      <c r="U166" s="208"/>
      <c r="V166" s="208"/>
    </row>
    <row r="167" spans="1:22" s="223" customFormat="1" ht="78.75" customHeight="1" thickBot="1" x14ac:dyDescent="0.3">
      <c r="A167" s="435"/>
      <c r="B167" s="439"/>
      <c r="C167" s="276" t="s">
        <v>167</v>
      </c>
      <c r="D167" s="258">
        <v>758</v>
      </c>
      <c r="E167" s="177" t="s">
        <v>291</v>
      </c>
      <c r="F167" s="177" t="s">
        <v>286</v>
      </c>
      <c r="G167" s="177" t="s">
        <v>291</v>
      </c>
      <c r="H167" s="164"/>
      <c r="I167" s="164"/>
      <c r="J167" s="164"/>
      <c r="K167" s="164">
        <f>K182</f>
        <v>0</v>
      </c>
      <c r="L167" s="164">
        <f t="shared" ref="L167:O167" si="56">L182</f>
        <v>0</v>
      </c>
      <c r="M167" s="164">
        <f t="shared" si="56"/>
        <v>0</v>
      </c>
      <c r="N167" s="164">
        <f t="shared" si="56"/>
        <v>0</v>
      </c>
      <c r="O167" s="164">
        <f t="shared" si="56"/>
        <v>0</v>
      </c>
      <c r="P167" s="164">
        <f>SUM(K167:O167)</f>
        <v>0</v>
      </c>
      <c r="Q167" s="207"/>
      <c r="R167" s="208"/>
      <c r="S167" s="208"/>
      <c r="T167" s="208"/>
      <c r="U167" s="208"/>
      <c r="V167" s="208"/>
    </row>
    <row r="168" spans="1:22" s="223" customFormat="1" ht="58.5" customHeight="1" thickBot="1" x14ac:dyDescent="0.3">
      <c r="A168" s="435"/>
      <c r="B168" s="439"/>
      <c r="C168" s="276" t="s">
        <v>150</v>
      </c>
      <c r="D168" s="258">
        <v>763</v>
      </c>
      <c r="E168" s="177" t="s">
        <v>291</v>
      </c>
      <c r="F168" s="177" t="s">
        <v>286</v>
      </c>
      <c r="G168" s="177" t="s">
        <v>291</v>
      </c>
      <c r="H168" s="164"/>
      <c r="I168" s="164"/>
      <c r="J168" s="164"/>
      <c r="K168" s="164">
        <f>K183</f>
        <v>0</v>
      </c>
      <c r="L168" s="164">
        <f t="shared" ref="L168:O169" si="57">L183</f>
        <v>0</v>
      </c>
      <c r="M168" s="164">
        <f t="shared" si="57"/>
        <v>0</v>
      </c>
      <c r="N168" s="164">
        <f t="shared" si="57"/>
        <v>0</v>
      </c>
      <c r="O168" s="164">
        <f t="shared" si="57"/>
        <v>0</v>
      </c>
      <c r="P168" s="164">
        <f>SUM(K168:O168)</f>
        <v>0</v>
      </c>
      <c r="Q168" s="207"/>
      <c r="R168" s="208"/>
      <c r="S168" s="208"/>
      <c r="T168" s="208"/>
      <c r="U168" s="208"/>
      <c r="V168" s="208"/>
    </row>
    <row r="169" spans="1:22" s="223" customFormat="1" ht="68.25" customHeight="1" thickBot="1" x14ac:dyDescent="0.3">
      <c r="A169" s="435"/>
      <c r="B169" s="439"/>
      <c r="C169" s="276" t="s">
        <v>342</v>
      </c>
      <c r="D169" s="258">
        <v>775</v>
      </c>
      <c r="E169" s="177" t="s">
        <v>291</v>
      </c>
      <c r="F169" s="177" t="s">
        <v>286</v>
      </c>
      <c r="G169" s="177" t="s">
        <v>291</v>
      </c>
      <c r="H169" s="164"/>
      <c r="I169" s="164"/>
      <c r="J169" s="164"/>
      <c r="K169" s="164">
        <f>K184</f>
        <v>45000</v>
      </c>
      <c r="L169" s="164">
        <f t="shared" si="57"/>
        <v>4800</v>
      </c>
      <c r="M169" s="164">
        <f t="shared" si="57"/>
        <v>0</v>
      </c>
      <c r="N169" s="164">
        <f t="shared" si="57"/>
        <v>0</v>
      </c>
      <c r="O169" s="164">
        <f t="shared" si="57"/>
        <v>0</v>
      </c>
      <c r="P169" s="164">
        <f>SUM(K169:O169)</f>
        <v>49800</v>
      </c>
      <c r="Q169" s="207"/>
      <c r="R169" s="208"/>
      <c r="S169" s="208"/>
      <c r="T169" s="208"/>
      <c r="U169" s="208"/>
      <c r="V169" s="208"/>
    </row>
    <row r="170" spans="1:22" s="223" customFormat="1" ht="52.5" customHeight="1" x14ac:dyDescent="0.25">
      <c r="A170" s="435"/>
      <c r="B170" s="439"/>
      <c r="C170" s="438" t="s">
        <v>66</v>
      </c>
      <c r="D170" s="191">
        <v>779</v>
      </c>
      <c r="E170" s="262" t="s">
        <v>291</v>
      </c>
      <c r="F170" s="262" t="s">
        <v>291</v>
      </c>
      <c r="G170" s="262" t="s">
        <v>291</v>
      </c>
      <c r="H170" s="165">
        <f>H173</f>
        <v>30400</v>
      </c>
      <c r="I170" s="165">
        <f>I173</f>
        <v>8384.1</v>
      </c>
      <c r="J170" s="165">
        <f>J173</f>
        <v>5565.64</v>
      </c>
      <c r="K170" s="165"/>
      <c r="L170" s="165"/>
      <c r="M170" s="165"/>
      <c r="N170" s="165"/>
      <c r="O170" s="165"/>
      <c r="P170" s="445">
        <f>SUM(H170:O171)</f>
        <v>44349.74</v>
      </c>
      <c r="Q170" s="207"/>
      <c r="R170" s="208"/>
      <c r="S170" s="208"/>
      <c r="T170" s="208"/>
      <c r="U170" s="208"/>
      <c r="V170" s="208"/>
    </row>
    <row r="171" spans="1:22" s="223" customFormat="1" ht="54" customHeight="1" thickBot="1" x14ac:dyDescent="0.3">
      <c r="A171" s="437"/>
      <c r="B171" s="440"/>
      <c r="C171" s="440"/>
      <c r="D171" s="267">
        <v>779</v>
      </c>
      <c r="E171" s="248" t="s">
        <v>291</v>
      </c>
      <c r="F171" s="248" t="s">
        <v>286</v>
      </c>
      <c r="G171" s="248" t="s">
        <v>291</v>
      </c>
      <c r="H171" s="226"/>
      <c r="I171" s="226"/>
      <c r="J171" s="226"/>
      <c r="K171" s="121">
        <f t="shared" ref="K171:O171" si="58">K172</f>
        <v>0</v>
      </c>
      <c r="L171" s="121">
        <f>L174</f>
        <v>0</v>
      </c>
      <c r="M171" s="121">
        <f t="shared" si="58"/>
        <v>0</v>
      </c>
      <c r="N171" s="121">
        <f t="shared" si="58"/>
        <v>0</v>
      </c>
      <c r="O171" s="121">
        <f t="shared" si="58"/>
        <v>0</v>
      </c>
      <c r="P171" s="446"/>
      <c r="Q171" s="207"/>
      <c r="R171" s="208"/>
      <c r="S171" s="208"/>
      <c r="T171" s="208"/>
      <c r="U171" s="208"/>
      <c r="V171" s="208"/>
    </row>
    <row r="172" spans="1:22" s="223" customFormat="1" ht="35.1" customHeight="1" thickBot="1" x14ac:dyDescent="0.3">
      <c r="A172" s="436" t="s">
        <v>132</v>
      </c>
      <c r="B172" s="438" t="s">
        <v>300</v>
      </c>
      <c r="C172" s="258" t="s">
        <v>27</v>
      </c>
      <c r="D172" s="258" t="s">
        <v>291</v>
      </c>
      <c r="E172" s="177" t="s">
        <v>291</v>
      </c>
      <c r="F172" s="177" t="s">
        <v>291</v>
      </c>
      <c r="G172" s="278" t="s">
        <v>291</v>
      </c>
      <c r="H172" s="164">
        <f>SUM(H173:H174)</f>
        <v>30400</v>
      </c>
      <c r="I172" s="164">
        <f t="shared" ref="I172" si="59">SUM(I173:I174)</f>
        <v>8384.1</v>
      </c>
      <c r="J172" s="164">
        <f>SUM(J173:J175)</f>
        <v>5565.64</v>
      </c>
      <c r="K172" s="164">
        <f t="shared" ref="K172:O172" si="60">SUM(K173:K175)</f>
        <v>0</v>
      </c>
      <c r="L172" s="164">
        <f>SUM(L173:L175)</f>
        <v>8280.3700000000008</v>
      </c>
      <c r="M172" s="164">
        <f t="shared" si="60"/>
        <v>0</v>
      </c>
      <c r="N172" s="164">
        <f t="shared" si="60"/>
        <v>0</v>
      </c>
      <c r="O172" s="164">
        <f t="shared" si="60"/>
        <v>0</v>
      </c>
      <c r="P172" s="164">
        <f>SUM(H172:O172)</f>
        <v>52630.11</v>
      </c>
      <c r="Q172" s="207"/>
      <c r="R172" s="208"/>
      <c r="S172" s="208"/>
      <c r="T172" s="208"/>
      <c r="U172" s="208"/>
      <c r="V172" s="208"/>
    </row>
    <row r="173" spans="1:22" s="223" customFormat="1" ht="35.1" customHeight="1" x14ac:dyDescent="0.25">
      <c r="A173" s="435"/>
      <c r="B173" s="439"/>
      <c r="C173" s="438" t="s">
        <v>66</v>
      </c>
      <c r="D173" s="272">
        <v>779</v>
      </c>
      <c r="E173" s="224" t="s">
        <v>291</v>
      </c>
      <c r="F173" s="224" t="s">
        <v>291</v>
      </c>
      <c r="G173" s="224" t="s">
        <v>291</v>
      </c>
      <c r="H173" s="140">
        <f>SUM(H176:H178)</f>
        <v>30400</v>
      </c>
      <c r="I173" s="140">
        <f>SUM(I176:I178)</f>
        <v>8384.1</v>
      </c>
      <c r="J173" s="140">
        <f>SUM(J176:J178)</f>
        <v>5565.64</v>
      </c>
      <c r="K173" s="140"/>
      <c r="L173" s="140"/>
      <c r="M173" s="140"/>
      <c r="N173" s="140"/>
      <c r="O173" s="140"/>
      <c r="P173" s="445">
        <f>SUM(H173:O174)</f>
        <v>44349.74</v>
      </c>
      <c r="Q173" s="207"/>
      <c r="R173" s="208"/>
      <c r="S173" s="208"/>
      <c r="T173" s="208"/>
      <c r="U173" s="208"/>
      <c r="V173" s="208"/>
    </row>
    <row r="174" spans="1:22" s="223" customFormat="1" ht="54" customHeight="1" thickBot="1" x14ac:dyDescent="0.3">
      <c r="A174" s="435"/>
      <c r="B174" s="439"/>
      <c r="C174" s="440"/>
      <c r="D174" s="249">
        <v>779</v>
      </c>
      <c r="E174" s="248" t="s">
        <v>291</v>
      </c>
      <c r="F174" s="248" t="s">
        <v>285</v>
      </c>
      <c r="G174" s="248" t="s">
        <v>291</v>
      </c>
      <c r="H174" s="226"/>
      <c r="I174" s="226"/>
      <c r="J174" s="226"/>
      <c r="K174" s="121">
        <f>SUM(K176:K178)</f>
        <v>0</v>
      </c>
      <c r="L174" s="121">
        <f>SUM(L176:L178)</f>
        <v>0</v>
      </c>
      <c r="M174" s="121">
        <f>SUM(M176:M178)</f>
        <v>0</v>
      </c>
      <c r="N174" s="121">
        <f>SUM(N176:N178)</f>
        <v>0</v>
      </c>
      <c r="O174" s="121">
        <f>SUM(O176:O178)</f>
        <v>0</v>
      </c>
      <c r="P174" s="446"/>
      <c r="Q174" s="207"/>
      <c r="R174" s="208"/>
      <c r="S174" s="208"/>
      <c r="T174" s="208"/>
      <c r="U174" s="208"/>
      <c r="V174" s="208"/>
    </row>
    <row r="175" spans="1:22" s="223" customFormat="1" ht="72" customHeight="1" thickBot="1" x14ac:dyDescent="0.3">
      <c r="A175" s="435"/>
      <c r="B175" s="439"/>
      <c r="C175" s="366" t="s">
        <v>157</v>
      </c>
      <c r="D175" s="249">
        <v>755</v>
      </c>
      <c r="E175" s="248" t="s">
        <v>19</v>
      </c>
      <c r="F175" s="248" t="s">
        <v>177</v>
      </c>
      <c r="G175" s="248" t="s">
        <v>28</v>
      </c>
      <c r="H175" s="367"/>
      <c r="I175" s="367"/>
      <c r="J175" s="367"/>
      <c r="K175" s="139"/>
      <c r="L175" s="139">
        <f>L179</f>
        <v>8280.3700000000008</v>
      </c>
      <c r="M175" s="139">
        <f t="shared" ref="M175:O175" si="61">M179</f>
        <v>0</v>
      </c>
      <c r="N175" s="139">
        <f t="shared" si="61"/>
        <v>0</v>
      </c>
      <c r="O175" s="139">
        <f t="shared" si="61"/>
        <v>0</v>
      </c>
      <c r="P175" s="139">
        <f>SUM(H175:O175)</f>
        <v>8280.3700000000008</v>
      </c>
      <c r="Q175" s="207"/>
      <c r="R175" s="208"/>
      <c r="S175" s="208"/>
      <c r="T175" s="208"/>
      <c r="U175" s="208"/>
      <c r="V175" s="208"/>
    </row>
    <row r="176" spans="1:22" s="218" customFormat="1" ht="35.1" customHeight="1" x14ac:dyDescent="0.25">
      <c r="A176" s="456" t="s">
        <v>217</v>
      </c>
      <c r="B176" s="453" t="s">
        <v>148</v>
      </c>
      <c r="C176" s="469" t="s">
        <v>66</v>
      </c>
      <c r="D176" s="231">
        <v>779</v>
      </c>
      <c r="E176" s="230" t="s">
        <v>18</v>
      </c>
      <c r="F176" s="230" t="s">
        <v>34</v>
      </c>
      <c r="G176" s="230" t="s">
        <v>17</v>
      </c>
      <c r="H176" s="297">
        <v>30400</v>
      </c>
      <c r="I176" s="155"/>
      <c r="J176" s="155"/>
      <c r="K176" s="155"/>
      <c r="L176" s="155"/>
      <c r="M176" s="155"/>
      <c r="N176" s="155"/>
      <c r="O176" s="155"/>
      <c r="P176" s="466">
        <f>SUM(H176:O178)</f>
        <v>44349.74</v>
      </c>
      <c r="Q176" s="207"/>
      <c r="R176" s="208"/>
      <c r="S176" s="208"/>
      <c r="T176" s="208"/>
      <c r="U176" s="208"/>
      <c r="V176" s="208"/>
    </row>
    <row r="177" spans="1:22" s="218" customFormat="1" ht="35.1" customHeight="1" x14ac:dyDescent="0.25">
      <c r="A177" s="457"/>
      <c r="B177" s="454"/>
      <c r="C177" s="470"/>
      <c r="D177" s="250">
        <v>779</v>
      </c>
      <c r="E177" s="251" t="s">
        <v>18</v>
      </c>
      <c r="F177" s="251" t="s">
        <v>241</v>
      </c>
      <c r="G177" s="251" t="s">
        <v>28</v>
      </c>
      <c r="H177" s="161"/>
      <c r="I177" s="161">
        <v>8384.1</v>
      </c>
      <c r="J177" s="161">
        <f>5700-134.36</f>
        <v>5565.64</v>
      </c>
      <c r="K177" s="161"/>
      <c r="L177" s="161"/>
      <c r="M177" s="161"/>
      <c r="N177" s="161"/>
      <c r="O177" s="161"/>
      <c r="P177" s="467"/>
      <c r="Q177" s="207"/>
      <c r="R177" s="208"/>
      <c r="S177" s="208"/>
      <c r="T177" s="208"/>
      <c r="U177" s="208"/>
      <c r="V177" s="208"/>
    </row>
    <row r="178" spans="1:22" s="218" customFormat="1" ht="35.1" customHeight="1" x14ac:dyDescent="0.25">
      <c r="A178" s="457"/>
      <c r="B178" s="454"/>
      <c r="C178" s="470"/>
      <c r="D178" s="250">
        <v>779</v>
      </c>
      <c r="E178" s="251" t="s">
        <v>18</v>
      </c>
      <c r="F178" s="251" t="s">
        <v>177</v>
      </c>
      <c r="G178" s="251" t="s">
        <v>28</v>
      </c>
      <c r="H178" s="161"/>
      <c r="I178" s="161"/>
      <c r="J178" s="161"/>
      <c r="K178" s="161">
        <v>0</v>
      </c>
      <c r="L178" s="161">
        <v>0</v>
      </c>
      <c r="M178" s="161">
        <v>0</v>
      </c>
      <c r="N178" s="161">
        <v>0</v>
      </c>
      <c r="O178" s="161">
        <v>0</v>
      </c>
      <c r="P178" s="467"/>
      <c r="Q178" s="207"/>
      <c r="R178" s="208"/>
      <c r="S178" s="208"/>
      <c r="T178" s="208"/>
      <c r="U178" s="208"/>
      <c r="V178" s="208"/>
    </row>
    <row r="179" spans="1:22" s="218" customFormat="1" ht="85.5" customHeight="1" thickBot="1" x14ac:dyDescent="0.3">
      <c r="A179" s="458"/>
      <c r="B179" s="455"/>
      <c r="C179" s="368" t="s">
        <v>408</v>
      </c>
      <c r="D179" s="236">
        <v>755</v>
      </c>
      <c r="E179" s="245" t="s">
        <v>19</v>
      </c>
      <c r="F179" s="245" t="s">
        <v>177</v>
      </c>
      <c r="G179" s="245" t="s">
        <v>28</v>
      </c>
      <c r="H179" s="128"/>
      <c r="I179" s="128"/>
      <c r="J179" s="128"/>
      <c r="K179" s="128"/>
      <c r="L179" s="128">
        <v>8280.3700000000008</v>
      </c>
      <c r="M179" s="128">
        <v>0</v>
      </c>
      <c r="N179" s="128">
        <v>0</v>
      </c>
      <c r="O179" s="128">
        <v>0</v>
      </c>
      <c r="P179" s="369">
        <f>SUM(H179:O179)</f>
        <v>8280.3700000000008</v>
      </c>
      <c r="Q179" s="207"/>
      <c r="R179" s="208"/>
      <c r="S179" s="208"/>
      <c r="T179" s="208"/>
      <c r="U179" s="208"/>
      <c r="V179" s="208"/>
    </row>
    <row r="180" spans="1:22" s="223" customFormat="1" ht="35.1" customHeight="1" thickBot="1" x14ac:dyDescent="0.3">
      <c r="A180" s="435" t="s">
        <v>133</v>
      </c>
      <c r="B180" s="439" t="s">
        <v>347</v>
      </c>
      <c r="C180" s="222" t="s">
        <v>27</v>
      </c>
      <c r="D180" s="222" t="s">
        <v>291</v>
      </c>
      <c r="E180" s="225" t="s">
        <v>291</v>
      </c>
      <c r="F180" s="225" t="s">
        <v>291</v>
      </c>
      <c r="G180" s="275" t="s">
        <v>291</v>
      </c>
      <c r="H180" s="192" t="s">
        <v>291</v>
      </c>
      <c r="I180" s="192" t="s">
        <v>291</v>
      </c>
      <c r="J180" s="192" t="s">
        <v>291</v>
      </c>
      <c r="K180" s="194">
        <f>SUM(K181:K184)</f>
        <v>45000</v>
      </c>
      <c r="L180" s="194">
        <f t="shared" ref="L180:O180" si="62">SUM(L181:L184)</f>
        <v>4800</v>
      </c>
      <c r="M180" s="194">
        <f t="shared" si="62"/>
        <v>0</v>
      </c>
      <c r="N180" s="194">
        <f t="shared" si="62"/>
        <v>0</v>
      </c>
      <c r="O180" s="194">
        <f t="shared" si="62"/>
        <v>0</v>
      </c>
      <c r="P180" s="194">
        <f>SUM(K180:O180)</f>
        <v>49800</v>
      </c>
      <c r="Q180" s="207"/>
      <c r="R180" s="208"/>
      <c r="S180" s="208"/>
      <c r="T180" s="208"/>
      <c r="U180" s="208"/>
      <c r="V180" s="208"/>
    </row>
    <row r="181" spans="1:22" s="223" customFormat="1" ht="72" customHeight="1" x14ac:dyDescent="0.25">
      <c r="A181" s="435"/>
      <c r="B181" s="439"/>
      <c r="C181" s="370" t="s">
        <v>157</v>
      </c>
      <c r="D181" s="210">
        <v>755</v>
      </c>
      <c r="E181" s="336" t="s">
        <v>19</v>
      </c>
      <c r="F181" s="224" t="s">
        <v>284</v>
      </c>
      <c r="G181" s="371" t="s">
        <v>28</v>
      </c>
      <c r="H181" s="193"/>
      <c r="I181" s="193"/>
      <c r="J181" s="193"/>
      <c r="K181" s="193">
        <f>K187+K191</f>
        <v>0</v>
      </c>
      <c r="L181" s="193">
        <f t="shared" ref="L181:O181" si="63">L187+L191</f>
        <v>0</v>
      </c>
      <c r="M181" s="193">
        <f t="shared" si="63"/>
        <v>0</v>
      </c>
      <c r="N181" s="193">
        <f t="shared" si="63"/>
        <v>0</v>
      </c>
      <c r="O181" s="193">
        <f t="shared" si="63"/>
        <v>0</v>
      </c>
      <c r="P181" s="193">
        <f>SUM(K181:O181)</f>
        <v>0</v>
      </c>
      <c r="Q181" s="207"/>
      <c r="R181" s="208"/>
      <c r="S181" s="208"/>
      <c r="T181" s="208"/>
      <c r="U181" s="208"/>
      <c r="V181" s="208"/>
    </row>
    <row r="182" spans="1:22" s="223" customFormat="1" ht="87" customHeight="1" x14ac:dyDescent="0.25">
      <c r="A182" s="435"/>
      <c r="B182" s="439"/>
      <c r="C182" s="372" t="s">
        <v>167</v>
      </c>
      <c r="D182" s="136">
        <v>758</v>
      </c>
      <c r="E182" s="264" t="s">
        <v>178</v>
      </c>
      <c r="F182" s="264" t="s">
        <v>284</v>
      </c>
      <c r="G182" s="264" t="s">
        <v>28</v>
      </c>
      <c r="H182" s="166"/>
      <c r="I182" s="166"/>
      <c r="J182" s="166"/>
      <c r="K182" s="166">
        <f>K188+K189</f>
        <v>0</v>
      </c>
      <c r="L182" s="166">
        <f t="shared" ref="L182:O182" si="64">L188+L189</f>
        <v>0</v>
      </c>
      <c r="M182" s="166">
        <f t="shared" si="64"/>
        <v>0</v>
      </c>
      <c r="N182" s="166">
        <f t="shared" si="64"/>
        <v>0</v>
      </c>
      <c r="O182" s="166">
        <f t="shared" si="64"/>
        <v>0</v>
      </c>
      <c r="P182" s="166">
        <f>SUM(K182:O182)</f>
        <v>0</v>
      </c>
      <c r="Q182" s="207"/>
      <c r="R182" s="208"/>
      <c r="S182" s="208"/>
      <c r="T182" s="208"/>
      <c r="U182" s="208"/>
      <c r="V182" s="208"/>
    </row>
    <row r="183" spans="1:22" s="223" customFormat="1" ht="79.5" customHeight="1" x14ac:dyDescent="0.25">
      <c r="A183" s="435"/>
      <c r="B183" s="439"/>
      <c r="C183" s="372" t="s">
        <v>150</v>
      </c>
      <c r="D183" s="136">
        <v>763</v>
      </c>
      <c r="E183" s="264" t="s">
        <v>169</v>
      </c>
      <c r="F183" s="264" t="s">
        <v>284</v>
      </c>
      <c r="G183" s="373" t="s">
        <v>28</v>
      </c>
      <c r="H183" s="165"/>
      <c r="I183" s="165"/>
      <c r="J183" s="165"/>
      <c r="K183" s="165">
        <f>K185+K186</f>
        <v>0</v>
      </c>
      <c r="L183" s="165">
        <f>L185+L186</f>
        <v>0</v>
      </c>
      <c r="M183" s="165">
        <f>M185+M186</f>
        <v>0</v>
      </c>
      <c r="N183" s="165">
        <f>N185+N186</f>
        <v>0</v>
      </c>
      <c r="O183" s="165">
        <f>O185+O186</f>
        <v>0</v>
      </c>
      <c r="P183" s="165">
        <f>SUM(K183:O183)</f>
        <v>0</v>
      </c>
      <c r="Q183" s="207"/>
      <c r="R183" s="208"/>
      <c r="S183" s="208"/>
      <c r="T183" s="208"/>
      <c r="U183" s="208"/>
      <c r="V183" s="208"/>
    </row>
    <row r="184" spans="1:22" s="223" customFormat="1" ht="75" customHeight="1" thickBot="1" x14ac:dyDescent="0.3">
      <c r="A184" s="437"/>
      <c r="B184" s="440"/>
      <c r="C184" s="374" t="s">
        <v>371</v>
      </c>
      <c r="D184" s="191">
        <v>775</v>
      </c>
      <c r="E184" s="262" t="s">
        <v>19</v>
      </c>
      <c r="F184" s="225" t="s">
        <v>284</v>
      </c>
      <c r="G184" s="373" t="s">
        <v>28</v>
      </c>
      <c r="H184" s="165"/>
      <c r="I184" s="165"/>
      <c r="J184" s="165"/>
      <c r="K184" s="167">
        <f>K190</f>
        <v>45000</v>
      </c>
      <c r="L184" s="167">
        <f t="shared" ref="L184:O184" si="65">L190</f>
        <v>4800</v>
      </c>
      <c r="M184" s="167">
        <f t="shared" si="65"/>
        <v>0</v>
      </c>
      <c r="N184" s="167">
        <f t="shared" si="65"/>
        <v>0</v>
      </c>
      <c r="O184" s="167">
        <f t="shared" si="65"/>
        <v>0</v>
      </c>
      <c r="P184" s="165">
        <f>SUM(K184:O184)</f>
        <v>49800</v>
      </c>
      <c r="Q184" s="207"/>
      <c r="R184" s="208"/>
      <c r="S184" s="208"/>
      <c r="T184" s="208"/>
      <c r="U184" s="208"/>
      <c r="V184" s="208"/>
    </row>
    <row r="185" spans="1:22" s="218" customFormat="1" ht="106.5" customHeight="1" thickBot="1" x14ac:dyDescent="0.3">
      <c r="A185" s="258" t="s">
        <v>218</v>
      </c>
      <c r="B185" s="375" t="s">
        <v>149</v>
      </c>
      <c r="C185" s="175" t="s">
        <v>150</v>
      </c>
      <c r="D185" s="228">
        <v>763</v>
      </c>
      <c r="E185" s="176" t="s">
        <v>169</v>
      </c>
      <c r="F185" s="176" t="s">
        <v>176</v>
      </c>
      <c r="G185" s="229" t="s">
        <v>28</v>
      </c>
      <c r="H185" s="120"/>
      <c r="I185" s="120"/>
      <c r="J185" s="120"/>
      <c r="K185" s="120">
        <v>0</v>
      </c>
      <c r="L185" s="120">
        <v>0</v>
      </c>
      <c r="M185" s="120">
        <v>0</v>
      </c>
      <c r="N185" s="120">
        <v>0</v>
      </c>
      <c r="O185" s="120">
        <v>0</v>
      </c>
      <c r="P185" s="120">
        <f t="shared" ref="P185:P191" si="66">SUM(K185:O185)</f>
        <v>0</v>
      </c>
      <c r="Q185" s="207"/>
      <c r="R185" s="208"/>
      <c r="S185" s="208"/>
      <c r="T185" s="208"/>
      <c r="U185" s="208"/>
      <c r="V185" s="208"/>
    </row>
    <row r="186" spans="1:22" s="218" customFormat="1" ht="105" customHeight="1" thickBot="1" x14ac:dyDescent="0.3">
      <c r="A186" s="258" t="s">
        <v>219</v>
      </c>
      <c r="B186" s="376" t="s">
        <v>151</v>
      </c>
      <c r="C186" s="220" t="s">
        <v>150</v>
      </c>
      <c r="D186" s="361">
        <v>763</v>
      </c>
      <c r="E186" s="221" t="s">
        <v>169</v>
      </c>
      <c r="F186" s="221" t="s">
        <v>175</v>
      </c>
      <c r="G186" s="362" t="s">
        <v>28</v>
      </c>
      <c r="H186" s="197"/>
      <c r="I186" s="197"/>
      <c r="J186" s="197"/>
      <c r="K186" s="197">
        <v>0</v>
      </c>
      <c r="L186" s="197">
        <v>0</v>
      </c>
      <c r="M186" s="197">
        <v>0</v>
      </c>
      <c r="N186" s="197">
        <v>0</v>
      </c>
      <c r="O186" s="197">
        <v>0</v>
      </c>
      <c r="P186" s="197">
        <f t="shared" si="66"/>
        <v>0</v>
      </c>
      <c r="Q186" s="207"/>
      <c r="R186" s="208"/>
      <c r="S186" s="208"/>
      <c r="T186" s="208"/>
      <c r="U186" s="208"/>
      <c r="V186" s="208"/>
    </row>
    <row r="187" spans="1:22" s="218" customFormat="1" ht="111.75" customHeight="1" thickBot="1" x14ac:dyDescent="0.3">
      <c r="A187" s="258" t="s">
        <v>220</v>
      </c>
      <c r="B187" s="375" t="s">
        <v>152</v>
      </c>
      <c r="C187" s="175" t="s">
        <v>157</v>
      </c>
      <c r="D187" s="228">
        <v>755</v>
      </c>
      <c r="E187" s="176" t="s">
        <v>19</v>
      </c>
      <c r="F187" s="176" t="s">
        <v>174</v>
      </c>
      <c r="G187" s="229" t="s">
        <v>28</v>
      </c>
      <c r="H187" s="120"/>
      <c r="I187" s="120"/>
      <c r="J187" s="120"/>
      <c r="K187" s="120">
        <v>0</v>
      </c>
      <c r="L187" s="120">
        <v>0</v>
      </c>
      <c r="M187" s="120">
        <v>0</v>
      </c>
      <c r="N187" s="120">
        <v>0</v>
      </c>
      <c r="O187" s="120">
        <v>0</v>
      </c>
      <c r="P187" s="120">
        <f t="shared" si="66"/>
        <v>0</v>
      </c>
      <c r="Q187" s="207"/>
      <c r="R187" s="208"/>
      <c r="S187" s="208"/>
      <c r="T187" s="208"/>
      <c r="U187" s="208"/>
      <c r="V187" s="208"/>
    </row>
    <row r="188" spans="1:22" s="218" customFormat="1" ht="117" customHeight="1" thickBot="1" x14ac:dyDescent="0.3">
      <c r="A188" s="258" t="s">
        <v>221</v>
      </c>
      <c r="B188" s="377" t="s">
        <v>168</v>
      </c>
      <c r="C188" s="175" t="s">
        <v>153</v>
      </c>
      <c r="D188" s="228">
        <v>758</v>
      </c>
      <c r="E188" s="176" t="s">
        <v>178</v>
      </c>
      <c r="F188" s="176" t="s">
        <v>173</v>
      </c>
      <c r="G188" s="229" t="s">
        <v>28</v>
      </c>
      <c r="H188" s="120"/>
      <c r="I188" s="120"/>
      <c r="J188" s="120"/>
      <c r="K188" s="120">
        <v>0</v>
      </c>
      <c r="L188" s="120">
        <v>0</v>
      </c>
      <c r="M188" s="120">
        <v>0</v>
      </c>
      <c r="N188" s="120">
        <v>0</v>
      </c>
      <c r="O188" s="120">
        <v>0</v>
      </c>
      <c r="P188" s="120">
        <f t="shared" si="66"/>
        <v>0</v>
      </c>
      <c r="Q188" s="207"/>
      <c r="R188" s="208"/>
      <c r="S188" s="208"/>
      <c r="T188" s="208"/>
      <c r="U188" s="208"/>
      <c r="V188" s="208"/>
    </row>
    <row r="189" spans="1:22" s="218" customFormat="1" ht="147.75" customHeight="1" thickBot="1" x14ac:dyDescent="0.3">
      <c r="A189" s="258" t="s">
        <v>222</v>
      </c>
      <c r="B189" s="375" t="s">
        <v>154</v>
      </c>
      <c r="C189" s="175" t="s">
        <v>167</v>
      </c>
      <c r="D189" s="228">
        <v>758</v>
      </c>
      <c r="E189" s="176" t="s">
        <v>178</v>
      </c>
      <c r="F189" s="176" t="s">
        <v>171</v>
      </c>
      <c r="G189" s="229" t="s">
        <v>28</v>
      </c>
      <c r="H189" s="120"/>
      <c r="I189" s="120"/>
      <c r="J189" s="120"/>
      <c r="K189" s="120">
        <v>0</v>
      </c>
      <c r="L189" s="120">
        <v>0</v>
      </c>
      <c r="M189" s="120">
        <v>0</v>
      </c>
      <c r="N189" s="120">
        <v>0</v>
      </c>
      <c r="O189" s="120">
        <v>0</v>
      </c>
      <c r="P189" s="120">
        <f t="shared" si="66"/>
        <v>0</v>
      </c>
      <c r="Q189" s="207"/>
      <c r="R189" s="208"/>
      <c r="S189" s="208"/>
      <c r="T189" s="208"/>
      <c r="U189" s="208"/>
      <c r="V189" s="208"/>
    </row>
    <row r="190" spans="1:22" s="218" customFormat="1" ht="85.5" customHeight="1" thickBot="1" x14ac:dyDescent="0.3">
      <c r="A190" s="258" t="s">
        <v>223</v>
      </c>
      <c r="B190" s="375" t="s">
        <v>155</v>
      </c>
      <c r="C190" s="175" t="s">
        <v>341</v>
      </c>
      <c r="D190" s="228">
        <v>775</v>
      </c>
      <c r="E190" s="176" t="s">
        <v>19</v>
      </c>
      <c r="F190" s="176" t="s">
        <v>170</v>
      </c>
      <c r="G190" s="229" t="s">
        <v>28</v>
      </c>
      <c r="H190" s="120"/>
      <c r="I190" s="120"/>
      <c r="J190" s="120"/>
      <c r="K190" s="120">
        <v>45000</v>
      </c>
      <c r="L190" s="120">
        <v>4800</v>
      </c>
      <c r="M190" s="120">
        <v>0</v>
      </c>
      <c r="N190" s="120">
        <v>0</v>
      </c>
      <c r="O190" s="120">
        <v>0</v>
      </c>
      <c r="P190" s="120">
        <f t="shared" si="66"/>
        <v>49800</v>
      </c>
      <c r="Q190" s="207"/>
      <c r="R190" s="208"/>
      <c r="S190" s="208"/>
      <c r="T190" s="208"/>
      <c r="U190" s="208"/>
      <c r="V190" s="208"/>
    </row>
    <row r="191" spans="1:22" s="218" customFormat="1" ht="78.75" customHeight="1" thickBot="1" x14ac:dyDescent="0.3">
      <c r="A191" s="258" t="s">
        <v>224</v>
      </c>
      <c r="B191" s="375" t="s">
        <v>156</v>
      </c>
      <c r="C191" s="175" t="s">
        <v>158</v>
      </c>
      <c r="D191" s="228">
        <v>755</v>
      </c>
      <c r="E191" s="176" t="s">
        <v>19</v>
      </c>
      <c r="F191" s="176" t="s">
        <v>253</v>
      </c>
      <c r="G191" s="229" t="s">
        <v>28</v>
      </c>
      <c r="H191" s="120"/>
      <c r="I191" s="120"/>
      <c r="J191" s="120"/>
      <c r="K191" s="120">
        <v>0</v>
      </c>
      <c r="L191" s="120">
        <v>0</v>
      </c>
      <c r="M191" s="120">
        <v>0</v>
      </c>
      <c r="N191" s="120">
        <v>0</v>
      </c>
      <c r="O191" s="120">
        <v>0</v>
      </c>
      <c r="P191" s="120">
        <f t="shared" si="66"/>
        <v>0</v>
      </c>
      <c r="Q191" s="207"/>
      <c r="R191" s="208"/>
      <c r="S191" s="208"/>
      <c r="T191" s="208"/>
      <c r="U191" s="208"/>
      <c r="V191" s="208"/>
    </row>
    <row r="192" spans="1:22" s="223" customFormat="1" ht="34.5" customHeight="1" thickBot="1" x14ac:dyDescent="0.3">
      <c r="A192" s="436" t="s">
        <v>134</v>
      </c>
      <c r="B192" s="438" t="s">
        <v>301</v>
      </c>
      <c r="C192" s="258" t="s">
        <v>27</v>
      </c>
      <c r="D192" s="258">
        <v>755</v>
      </c>
      <c r="E192" s="177" t="s">
        <v>291</v>
      </c>
      <c r="F192" s="177" t="s">
        <v>291</v>
      </c>
      <c r="G192" s="177" t="s">
        <v>291</v>
      </c>
      <c r="H192" s="378" t="s">
        <v>291</v>
      </c>
      <c r="I192" s="378" t="s">
        <v>291</v>
      </c>
      <c r="J192" s="378" t="s">
        <v>291</v>
      </c>
      <c r="K192" s="164">
        <f t="shared" ref="K192:P192" si="67">K194</f>
        <v>0</v>
      </c>
      <c r="L192" s="164">
        <f t="shared" si="67"/>
        <v>0</v>
      </c>
      <c r="M192" s="164">
        <f t="shared" si="67"/>
        <v>0</v>
      </c>
      <c r="N192" s="164">
        <f t="shared" si="67"/>
        <v>0</v>
      </c>
      <c r="O192" s="164">
        <f t="shared" si="67"/>
        <v>0</v>
      </c>
      <c r="P192" s="164">
        <f t="shared" si="67"/>
        <v>0</v>
      </c>
      <c r="Q192" s="207"/>
      <c r="R192" s="208"/>
      <c r="S192" s="208"/>
      <c r="T192" s="208"/>
      <c r="U192" s="208"/>
      <c r="V192" s="208"/>
    </row>
    <row r="193" spans="1:22" s="223" customFormat="1" ht="78.75" customHeight="1" thickBot="1" x14ac:dyDescent="0.3">
      <c r="A193" s="437"/>
      <c r="B193" s="440"/>
      <c r="C193" s="276" t="s">
        <v>157</v>
      </c>
      <c r="D193" s="258">
        <v>755</v>
      </c>
      <c r="E193" s="177" t="s">
        <v>291</v>
      </c>
      <c r="F193" s="177" t="s">
        <v>283</v>
      </c>
      <c r="G193" s="177" t="s">
        <v>291</v>
      </c>
      <c r="H193" s="194"/>
      <c r="I193" s="194"/>
      <c r="J193" s="194"/>
      <c r="K193" s="194">
        <f t="shared" ref="K193:O193" si="68">K194</f>
        <v>0</v>
      </c>
      <c r="L193" s="194">
        <f t="shared" si="68"/>
        <v>0</v>
      </c>
      <c r="M193" s="194">
        <f t="shared" si="68"/>
        <v>0</v>
      </c>
      <c r="N193" s="194">
        <f t="shared" si="68"/>
        <v>0</v>
      </c>
      <c r="O193" s="194">
        <f t="shared" si="68"/>
        <v>0</v>
      </c>
      <c r="P193" s="194">
        <f>SUM(K193:O193)</f>
        <v>0</v>
      </c>
      <c r="Q193" s="207"/>
      <c r="R193" s="208"/>
      <c r="S193" s="208"/>
      <c r="T193" s="208"/>
      <c r="U193" s="208"/>
      <c r="V193" s="208"/>
    </row>
    <row r="194" spans="1:22" s="218" customFormat="1" ht="134.25" customHeight="1" thickBot="1" x14ac:dyDescent="0.3">
      <c r="A194" s="222" t="s">
        <v>226</v>
      </c>
      <c r="B194" s="331" t="s">
        <v>225</v>
      </c>
      <c r="C194" s="330" t="s">
        <v>157</v>
      </c>
      <c r="D194" s="284">
        <v>755</v>
      </c>
      <c r="E194" s="269" t="s">
        <v>19</v>
      </c>
      <c r="F194" s="269" t="s">
        <v>172</v>
      </c>
      <c r="G194" s="359" t="s">
        <v>28</v>
      </c>
      <c r="H194" s="163"/>
      <c r="I194" s="163"/>
      <c r="J194" s="163"/>
      <c r="K194" s="163">
        <v>0</v>
      </c>
      <c r="L194" s="163">
        <v>0</v>
      </c>
      <c r="M194" s="163">
        <v>0</v>
      </c>
      <c r="N194" s="163">
        <v>0</v>
      </c>
      <c r="O194" s="163">
        <v>0</v>
      </c>
      <c r="P194" s="163">
        <f>SUM(K194:O194)</f>
        <v>0</v>
      </c>
      <c r="Q194" s="207"/>
      <c r="R194" s="208"/>
      <c r="S194" s="208"/>
      <c r="T194" s="208"/>
      <c r="U194" s="208"/>
      <c r="V194" s="208"/>
    </row>
    <row r="195" spans="1:22" s="223" customFormat="1" ht="35.1" customHeight="1" thickBot="1" x14ac:dyDescent="0.3">
      <c r="A195" s="441" t="s">
        <v>162</v>
      </c>
      <c r="B195" s="438" t="s">
        <v>262</v>
      </c>
      <c r="C195" s="258" t="s">
        <v>27</v>
      </c>
      <c r="D195" s="258">
        <v>771</v>
      </c>
      <c r="E195" s="177" t="s">
        <v>291</v>
      </c>
      <c r="F195" s="177" t="s">
        <v>291</v>
      </c>
      <c r="G195" s="278" t="s">
        <v>291</v>
      </c>
      <c r="H195" s="127">
        <f>H198+H204+H224+H264</f>
        <v>421111</v>
      </c>
      <c r="I195" s="127">
        <f t="shared" ref="I195:N195" si="69">I198+I204+I224+I264</f>
        <v>453719.43</v>
      </c>
      <c r="J195" s="127">
        <f>J198+J204+J224+J264</f>
        <v>303569.08</v>
      </c>
      <c r="K195" s="127">
        <f t="shared" si="69"/>
        <v>310948.75</v>
      </c>
      <c r="L195" s="127">
        <f t="shared" si="69"/>
        <v>342357.32</v>
      </c>
      <c r="M195" s="127">
        <f t="shared" si="69"/>
        <v>342357.32</v>
      </c>
      <c r="N195" s="127">
        <f t="shared" si="69"/>
        <v>342357.32</v>
      </c>
      <c r="O195" s="127">
        <f>O198+O204+O224+O264</f>
        <v>342357.32</v>
      </c>
      <c r="P195" s="164">
        <f>SUM(H195:O195)</f>
        <v>2858777.54</v>
      </c>
      <c r="Q195" s="207"/>
      <c r="R195" s="208"/>
      <c r="S195" s="208"/>
      <c r="T195" s="208"/>
      <c r="U195" s="208"/>
      <c r="V195" s="208"/>
    </row>
    <row r="196" spans="1:22" s="223" customFormat="1" ht="50.1" customHeight="1" x14ac:dyDescent="0.25">
      <c r="A196" s="442"/>
      <c r="B196" s="439"/>
      <c r="C196" s="438" t="s">
        <v>20</v>
      </c>
      <c r="D196" s="272">
        <v>771</v>
      </c>
      <c r="E196" s="224" t="s">
        <v>291</v>
      </c>
      <c r="F196" s="224" t="s">
        <v>291</v>
      </c>
      <c r="G196" s="224" t="s">
        <v>291</v>
      </c>
      <c r="H196" s="145">
        <f>SUM(H201:H203)+SUM(H208:H214)+SUM(H216:H218)+SUM(H219:H223)+SUM(H228:H244)+SUM(H254:H258)+SUM(H267:H283)</f>
        <v>421111</v>
      </c>
      <c r="I196" s="145">
        <f>SUM(I201:I203)+SUM(I208:I214)+SUM(I216:I218)+SUM(I219:I223)+SUM(I228:I244)+SUM(I254:I258)+SUM(I267:I283)</f>
        <v>453719.43</v>
      </c>
      <c r="J196" s="145">
        <f>J198+J205+J225+J265</f>
        <v>303569.08</v>
      </c>
      <c r="K196" s="145"/>
      <c r="L196" s="145"/>
      <c r="M196" s="145"/>
      <c r="N196" s="145"/>
      <c r="O196" s="145"/>
      <c r="P196" s="140">
        <f>SUM(H196:O197)</f>
        <v>2858777.54</v>
      </c>
      <c r="Q196" s="207"/>
      <c r="R196" s="208"/>
      <c r="S196" s="208"/>
      <c r="T196" s="208"/>
      <c r="U196" s="208"/>
      <c r="V196" s="208"/>
    </row>
    <row r="197" spans="1:22" s="223" customFormat="1" ht="53.25" customHeight="1" thickBot="1" x14ac:dyDescent="0.3">
      <c r="A197" s="443"/>
      <c r="B197" s="440"/>
      <c r="C197" s="440"/>
      <c r="D197" s="249">
        <v>771</v>
      </c>
      <c r="E197" s="248" t="s">
        <v>291</v>
      </c>
      <c r="F197" s="248" t="s">
        <v>287</v>
      </c>
      <c r="G197" s="248" t="s">
        <v>291</v>
      </c>
      <c r="H197" s="226"/>
      <c r="I197" s="226"/>
      <c r="J197" s="226"/>
      <c r="K197" s="122">
        <f>K200+K206+K226+K266</f>
        <v>310948.75</v>
      </c>
      <c r="L197" s="122">
        <f>L200+L206+L226+L266</f>
        <v>342357.32</v>
      </c>
      <c r="M197" s="122">
        <f>M200+M206+M226+M266</f>
        <v>342357.32</v>
      </c>
      <c r="N197" s="122">
        <f>N200+N206+N226+N266</f>
        <v>342357.32</v>
      </c>
      <c r="O197" s="122">
        <f>O200+O206+O226+O266</f>
        <v>342357.32</v>
      </c>
      <c r="P197" s="226"/>
      <c r="Q197" s="207"/>
      <c r="R197" s="208"/>
      <c r="S197" s="208"/>
      <c r="T197" s="208"/>
      <c r="U197" s="208"/>
      <c r="V197" s="208"/>
    </row>
    <row r="198" spans="1:22" s="223" customFormat="1" ht="34.5" customHeight="1" thickBot="1" x14ac:dyDescent="0.3">
      <c r="A198" s="436" t="s">
        <v>163</v>
      </c>
      <c r="B198" s="438" t="s">
        <v>329</v>
      </c>
      <c r="C198" s="258" t="s">
        <v>27</v>
      </c>
      <c r="D198" s="258">
        <v>771</v>
      </c>
      <c r="E198" s="177" t="s">
        <v>291</v>
      </c>
      <c r="F198" s="177" t="s">
        <v>291</v>
      </c>
      <c r="G198" s="278" t="s">
        <v>291</v>
      </c>
      <c r="H198" s="164">
        <f>SUM(H199:H200)</f>
        <v>22117.4</v>
      </c>
      <c r="I198" s="164">
        <f t="shared" ref="I198:O198" si="70">SUM(I199:I200)</f>
        <v>22707.35</v>
      </c>
      <c r="J198" s="164">
        <f t="shared" si="70"/>
        <v>28518.86</v>
      </c>
      <c r="K198" s="164">
        <f t="shared" si="70"/>
        <v>29034.11</v>
      </c>
      <c r="L198" s="164">
        <f t="shared" si="70"/>
        <v>27631.16</v>
      </c>
      <c r="M198" s="164">
        <f t="shared" si="70"/>
        <v>27631.16</v>
      </c>
      <c r="N198" s="164">
        <f t="shared" si="70"/>
        <v>27631.16</v>
      </c>
      <c r="O198" s="164">
        <f t="shared" si="70"/>
        <v>27631.16</v>
      </c>
      <c r="P198" s="127">
        <f>SUM(H198:O198)</f>
        <v>212902.36</v>
      </c>
      <c r="Q198" s="207"/>
      <c r="R198" s="208"/>
      <c r="S198" s="208"/>
      <c r="T198" s="208"/>
      <c r="U198" s="208"/>
      <c r="V198" s="208"/>
    </row>
    <row r="199" spans="1:22" s="223" customFormat="1" ht="35.1" customHeight="1" x14ac:dyDescent="0.25">
      <c r="A199" s="435"/>
      <c r="B199" s="439"/>
      <c r="C199" s="438" t="s">
        <v>20</v>
      </c>
      <c r="D199" s="272">
        <v>771</v>
      </c>
      <c r="E199" s="224" t="s">
        <v>291</v>
      </c>
      <c r="F199" s="224" t="s">
        <v>291</v>
      </c>
      <c r="G199" s="224" t="s">
        <v>291</v>
      </c>
      <c r="H199" s="145">
        <f>SUM(H201:H203)</f>
        <v>22117.4</v>
      </c>
      <c r="I199" s="145">
        <f>SUM(I201:I203)</f>
        <v>22707.35</v>
      </c>
      <c r="J199" s="145">
        <f>SUM(J201:J203)</f>
        <v>28518.86</v>
      </c>
      <c r="K199" s="145"/>
      <c r="L199" s="145"/>
      <c r="M199" s="145"/>
      <c r="N199" s="145"/>
      <c r="O199" s="145"/>
      <c r="P199" s="447">
        <f>SUM(H199:O200)</f>
        <v>212902.36</v>
      </c>
      <c r="Q199" s="207"/>
      <c r="R199" s="208"/>
      <c r="S199" s="208"/>
      <c r="T199" s="208"/>
      <c r="U199" s="208"/>
      <c r="V199" s="208"/>
    </row>
    <row r="200" spans="1:22" s="223" customFormat="1" ht="35.1" customHeight="1" thickBot="1" x14ac:dyDescent="0.3">
      <c r="A200" s="437"/>
      <c r="B200" s="440"/>
      <c r="C200" s="440"/>
      <c r="D200" s="249">
        <v>771</v>
      </c>
      <c r="E200" s="248" t="s">
        <v>291</v>
      </c>
      <c r="F200" s="248" t="s">
        <v>288</v>
      </c>
      <c r="G200" s="248" t="s">
        <v>291</v>
      </c>
      <c r="H200" s="226"/>
      <c r="I200" s="226"/>
      <c r="J200" s="226"/>
      <c r="K200" s="122">
        <f t="shared" ref="K200:O200" si="71">SUM(K201:K203)</f>
        <v>29034.11</v>
      </c>
      <c r="L200" s="122">
        <v>27631.16</v>
      </c>
      <c r="M200" s="122">
        <v>27631.16</v>
      </c>
      <c r="N200" s="122">
        <v>27631.16</v>
      </c>
      <c r="O200" s="122">
        <f t="shared" si="71"/>
        <v>27631.16</v>
      </c>
      <c r="P200" s="448"/>
      <c r="Q200" s="207"/>
      <c r="R200" s="208"/>
      <c r="S200" s="208"/>
      <c r="T200" s="208"/>
      <c r="U200" s="208"/>
      <c r="V200" s="208"/>
    </row>
    <row r="201" spans="1:22" s="218" customFormat="1" ht="34.5" customHeight="1" x14ac:dyDescent="0.25">
      <c r="A201" s="435" t="s">
        <v>227</v>
      </c>
      <c r="B201" s="444" t="s">
        <v>75</v>
      </c>
      <c r="C201" s="449" t="s">
        <v>20</v>
      </c>
      <c r="D201" s="349">
        <v>771</v>
      </c>
      <c r="E201" s="239" t="s">
        <v>16</v>
      </c>
      <c r="F201" s="239" t="s">
        <v>70</v>
      </c>
      <c r="G201" s="287" t="s">
        <v>17</v>
      </c>
      <c r="H201" s="307">
        <v>22117.4</v>
      </c>
      <c r="I201" s="158"/>
      <c r="J201" s="158"/>
      <c r="K201" s="158"/>
      <c r="L201" s="158"/>
      <c r="M201" s="158"/>
      <c r="N201" s="158"/>
      <c r="O201" s="158"/>
      <c r="P201" s="468">
        <f>SUM(H201:O203)</f>
        <v>212902.36</v>
      </c>
      <c r="Q201" s="207"/>
      <c r="R201" s="208"/>
      <c r="S201" s="208"/>
      <c r="T201" s="208"/>
      <c r="U201" s="208"/>
      <c r="V201" s="208"/>
    </row>
    <row r="202" spans="1:22" s="218" customFormat="1" ht="54.75" customHeight="1" x14ac:dyDescent="0.25">
      <c r="A202" s="435"/>
      <c r="B202" s="444"/>
      <c r="C202" s="444"/>
      <c r="D202" s="250">
        <v>771</v>
      </c>
      <c r="E202" s="251" t="s">
        <v>16</v>
      </c>
      <c r="F202" s="250">
        <v>1191003</v>
      </c>
      <c r="G202" s="290" t="s">
        <v>369</v>
      </c>
      <c r="H202" s="132"/>
      <c r="I202" s="132">
        <v>22707.35</v>
      </c>
      <c r="J202" s="132">
        <v>28518.86</v>
      </c>
      <c r="K202" s="132"/>
      <c r="L202" s="132"/>
      <c r="M202" s="132"/>
      <c r="N202" s="132"/>
      <c r="O202" s="132"/>
      <c r="P202" s="468"/>
      <c r="Q202" s="207"/>
      <c r="R202" s="208"/>
      <c r="S202" s="208"/>
      <c r="T202" s="208"/>
      <c r="U202" s="208"/>
      <c r="V202" s="208"/>
    </row>
    <row r="203" spans="1:22" s="218" customFormat="1" ht="55.5" customHeight="1" thickBot="1" x14ac:dyDescent="0.3">
      <c r="A203" s="435"/>
      <c r="B203" s="444"/>
      <c r="C203" s="450"/>
      <c r="D203" s="241">
        <v>771</v>
      </c>
      <c r="E203" s="242" t="s">
        <v>16</v>
      </c>
      <c r="F203" s="241">
        <v>1160110030</v>
      </c>
      <c r="G203" s="379" t="s">
        <v>369</v>
      </c>
      <c r="H203" s="129"/>
      <c r="I203" s="129"/>
      <c r="J203" s="129"/>
      <c r="K203" s="129">
        <v>29034.11</v>
      </c>
      <c r="L203" s="129">
        <v>27631.16</v>
      </c>
      <c r="M203" s="129">
        <v>27631.16</v>
      </c>
      <c r="N203" s="129">
        <v>27631.16</v>
      </c>
      <c r="O203" s="129">
        <v>27631.16</v>
      </c>
      <c r="P203" s="468"/>
      <c r="Q203" s="207"/>
      <c r="R203" s="208"/>
      <c r="S203" s="208"/>
      <c r="T203" s="208"/>
      <c r="U203" s="208"/>
      <c r="V203" s="208"/>
    </row>
    <row r="204" spans="1:22" s="223" customFormat="1" ht="21.75" customHeight="1" thickBot="1" x14ac:dyDescent="0.3">
      <c r="A204" s="436" t="s">
        <v>164</v>
      </c>
      <c r="B204" s="438" t="s">
        <v>330</v>
      </c>
      <c r="C204" s="258" t="s">
        <v>27</v>
      </c>
      <c r="D204" s="258">
        <v>771</v>
      </c>
      <c r="E204" s="177" t="s">
        <v>291</v>
      </c>
      <c r="F204" s="177" t="s">
        <v>291</v>
      </c>
      <c r="G204" s="278" t="s">
        <v>291</v>
      </c>
      <c r="H204" s="164">
        <f>SUM(H205:H206)</f>
        <v>97585</v>
      </c>
      <c r="I204" s="164">
        <f t="shared" ref="I204:J204" si="72">SUM(I205:I206)</f>
        <v>84110</v>
      </c>
      <c r="J204" s="164">
        <f t="shared" si="72"/>
        <v>48371.65</v>
      </c>
      <c r="K204" s="127">
        <f>K207+SUM(K216:K223)</f>
        <v>48735.89</v>
      </c>
      <c r="L204" s="127">
        <f>L207+SUM(L216:L223)</f>
        <v>48865.279999999999</v>
      </c>
      <c r="M204" s="127">
        <f>M207+SUM(M216:M223)</f>
        <v>48865.279999999999</v>
      </c>
      <c r="N204" s="127">
        <f>N207+SUM(N216:N223)</f>
        <v>48865.279999999999</v>
      </c>
      <c r="O204" s="127">
        <f>O207+SUM(O216:O223)</f>
        <v>48865.279999999999</v>
      </c>
      <c r="P204" s="127">
        <f>SUM(H204:O204)</f>
        <v>474263.66</v>
      </c>
      <c r="Q204" s="207"/>
      <c r="R204" s="208"/>
      <c r="S204" s="208"/>
      <c r="T204" s="208"/>
      <c r="U204" s="208"/>
      <c r="V204" s="208"/>
    </row>
    <row r="205" spans="1:22" s="223" customFormat="1" ht="35.1" customHeight="1" x14ac:dyDescent="0.25">
      <c r="A205" s="435"/>
      <c r="B205" s="439"/>
      <c r="C205" s="438" t="s">
        <v>20</v>
      </c>
      <c r="D205" s="272">
        <v>771</v>
      </c>
      <c r="E205" s="224" t="s">
        <v>291</v>
      </c>
      <c r="F205" s="224" t="s">
        <v>291</v>
      </c>
      <c r="G205" s="224" t="s">
        <v>291</v>
      </c>
      <c r="H205" s="145">
        <f>H207+H216+H219+H221+H222+H223</f>
        <v>97585</v>
      </c>
      <c r="I205" s="145">
        <f>I207+I217+I220+I221+I222+I223</f>
        <v>84110</v>
      </c>
      <c r="J205" s="145">
        <f>J207+J217+J220+J221+J222+J223</f>
        <v>48371.65</v>
      </c>
      <c r="K205" s="145"/>
      <c r="L205" s="145"/>
      <c r="M205" s="145"/>
      <c r="N205" s="145"/>
      <c r="O205" s="145"/>
      <c r="P205" s="447">
        <f>SUM(H205:O206)</f>
        <v>474263.66</v>
      </c>
      <c r="Q205" s="207"/>
      <c r="R205" s="208"/>
      <c r="S205" s="208"/>
      <c r="T205" s="208"/>
      <c r="U205" s="208"/>
      <c r="V205" s="208"/>
    </row>
    <row r="206" spans="1:22" s="223" customFormat="1" ht="35.1" customHeight="1" thickBot="1" x14ac:dyDescent="0.3">
      <c r="A206" s="437"/>
      <c r="B206" s="440"/>
      <c r="C206" s="440"/>
      <c r="D206" s="249">
        <v>771</v>
      </c>
      <c r="E206" s="248" t="s">
        <v>291</v>
      </c>
      <c r="F206" s="248" t="s">
        <v>282</v>
      </c>
      <c r="G206" s="248" t="s">
        <v>291</v>
      </c>
      <c r="H206" s="226"/>
      <c r="I206" s="226"/>
      <c r="J206" s="226"/>
      <c r="K206" s="122">
        <f>K207+K218+K220+K221+K223</f>
        <v>48735.89</v>
      </c>
      <c r="L206" s="122">
        <f t="shared" ref="L206:O206" si="73">L207+L218+L220+L221+L223</f>
        <v>48865.279999999999</v>
      </c>
      <c r="M206" s="122">
        <f t="shared" si="73"/>
        <v>48865.279999999999</v>
      </c>
      <c r="N206" s="122">
        <f t="shared" si="73"/>
        <v>48865.279999999999</v>
      </c>
      <c r="O206" s="122">
        <f t="shared" si="73"/>
        <v>48865.279999999999</v>
      </c>
      <c r="P206" s="448"/>
      <c r="Q206" s="207"/>
      <c r="R206" s="208"/>
      <c r="S206" s="208"/>
      <c r="T206" s="208"/>
      <c r="U206" s="208"/>
      <c r="V206" s="208"/>
    </row>
    <row r="207" spans="1:22" s="218" customFormat="1" ht="119.25" customHeight="1" thickBot="1" x14ac:dyDescent="0.3">
      <c r="A207" s="210" t="s">
        <v>228</v>
      </c>
      <c r="B207" s="220" t="s">
        <v>248</v>
      </c>
      <c r="C207" s="220" t="s">
        <v>20</v>
      </c>
      <c r="D207" s="361">
        <v>771</v>
      </c>
      <c r="E207" s="221" t="s">
        <v>291</v>
      </c>
      <c r="F207" s="221" t="s">
        <v>291</v>
      </c>
      <c r="G207" s="362" t="s">
        <v>291</v>
      </c>
      <c r="H207" s="188">
        <f>SUM(H208:H215)</f>
        <v>69685</v>
      </c>
      <c r="I207" s="188">
        <f t="shared" ref="I207:N207" si="74">SUM(I208:I215)</f>
        <v>63610</v>
      </c>
      <c r="J207" s="188">
        <f t="shared" si="74"/>
        <v>30373.65</v>
      </c>
      <c r="K207" s="188">
        <f t="shared" si="74"/>
        <v>24849.54</v>
      </c>
      <c r="L207" s="188">
        <f t="shared" si="74"/>
        <v>45865.279999999999</v>
      </c>
      <c r="M207" s="188">
        <f t="shared" si="74"/>
        <v>45865.279999999999</v>
      </c>
      <c r="N207" s="188">
        <f t="shared" si="74"/>
        <v>45865.279999999999</v>
      </c>
      <c r="O207" s="188">
        <f>SUM(O208:O215)</f>
        <v>45865.279999999999</v>
      </c>
      <c r="P207" s="188">
        <f t="shared" ref="P207" si="75">SUM(H207:O207)</f>
        <v>371979.31</v>
      </c>
      <c r="Q207" s="207"/>
      <c r="R207" s="208"/>
      <c r="S207" s="208"/>
      <c r="T207" s="208"/>
      <c r="U207" s="208"/>
      <c r="V207" s="208"/>
    </row>
    <row r="208" spans="1:22" s="380" customFormat="1" ht="45.75" customHeight="1" x14ac:dyDescent="0.25">
      <c r="A208" s="436" t="s">
        <v>229</v>
      </c>
      <c r="B208" s="449" t="s">
        <v>245</v>
      </c>
      <c r="C208" s="449" t="s">
        <v>20</v>
      </c>
      <c r="D208" s="231">
        <v>771</v>
      </c>
      <c r="E208" s="230" t="s">
        <v>76</v>
      </c>
      <c r="F208" s="231">
        <v>4440101</v>
      </c>
      <c r="G208" s="232" t="s">
        <v>17</v>
      </c>
      <c r="H208" s="297">
        <v>55544.43</v>
      </c>
      <c r="I208" s="155"/>
      <c r="J208" s="155"/>
      <c r="K208" s="155"/>
      <c r="L208" s="155"/>
      <c r="M208" s="155"/>
      <c r="N208" s="155"/>
      <c r="O208" s="155"/>
      <c r="P208" s="471">
        <f>SUM(H208:O210:L211:M211:N211)</f>
        <v>229381.67</v>
      </c>
      <c r="Q208" s="207"/>
      <c r="R208" s="207"/>
      <c r="S208" s="207"/>
      <c r="T208" s="207"/>
      <c r="U208" s="207"/>
      <c r="V208" s="207"/>
    </row>
    <row r="209" spans="1:22" s="380" customFormat="1" ht="46.5" customHeight="1" x14ac:dyDescent="0.25">
      <c r="A209" s="435"/>
      <c r="B209" s="444"/>
      <c r="C209" s="444"/>
      <c r="D209" s="250">
        <v>771</v>
      </c>
      <c r="E209" s="251" t="s">
        <v>76</v>
      </c>
      <c r="F209" s="250">
        <v>1192041</v>
      </c>
      <c r="G209" s="290" t="s">
        <v>28</v>
      </c>
      <c r="H209" s="161"/>
      <c r="I209" s="161">
        <f>45710+900</f>
        <v>46610</v>
      </c>
      <c r="J209" s="161">
        <f>47510-7126.5-18804-9.781</f>
        <v>21569.72</v>
      </c>
      <c r="K209" s="161"/>
      <c r="L209" s="161"/>
      <c r="M209" s="161"/>
      <c r="N209" s="161"/>
      <c r="O209" s="161"/>
      <c r="P209" s="459"/>
      <c r="Q209" s="207"/>
      <c r="R209" s="207"/>
      <c r="S209" s="207"/>
      <c r="T209" s="207"/>
      <c r="U209" s="207"/>
      <c r="V209" s="207"/>
    </row>
    <row r="210" spans="1:22" s="380" customFormat="1" ht="39.75" customHeight="1" x14ac:dyDescent="0.25">
      <c r="A210" s="435"/>
      <c r="B210" s="444"/>
      <c r="C210" s="444"/>
      <c r="D210" s="250">
        <v>771</v>
      </c>
      <c r="E210" s="251" t="s">
        <v>76</v>
      </c>
      <c r="F210" s="250">
        <v>1160222980</v>
      </c>
      <c r="G210" s="290" t="s">
        <v>28</v>
      </c>
      <c r="H210" s="161"/>
      <c r="I210" s="161"/>
      <c r="J210" s="161"/>
      <c r="K210" s="161">
        <v>11412.4</v>
      </c>
      <c r="L210" s="161"/>
      <c r="M210" s="161"/>
      <c r="N210" s="161"/>
      <c r="O210" s="161"/>
      <c r="P210" s="459"/>
      <c r="Q210" s="207"/>
      <c r="R210" s="207"/>
      <c r="S210" s="207"/>
      <c r="T210" s="207"/>
      <c r="U210" s="207"/>
      <c r="V210" s="207"/>
    </row>
    <row r="211" spans="1:22" s="380" customFormat="1" ht="39.75" customHeight="1" thickBot="1" x14ac:dyDescent="0.3">
      <c r="A211" s="535"/>
      <c r="B211" s="534"/>
      <c r="C211" s="534"/>
      <c r="D211" s="361">
        <v>771</v>
      </c>
      <c r="E211" s="221" t="s">
        <v>76</v>
      </c>
      <c r="F211" s="361">
        <v>1160298750</v>
      </c>
      <c r="G211" s="362" t="s">
        <v>28</v>
      </c>
      <c r="H211" s="137"/>
      <c r="I211" s="137"/>
      <c r="J211" s="137"/>
      <c r="K211" s="137"/>
      <c r="L211" s="137">
        <v>23561.279999999999</v>
      </c>
      <c r="M211" s="137">
        <v>23561.279999999999</v>
      </c>
      <c r="N211" s="137">
        <v>23561.279999999999</v>
      </c>
      <c r="O211" s="137">
        <v>23561.279999999999</v>
      </c>
      <c r="P211" s="472"/>
      <c r="Q211" s="207"/>
      <c r="R211" s="207"/>
      <c r="S211" s="207"/>
      <c r="T211" s="207"/>
      <c r="U211" s="207"/>
      <c r="V211" s="207"/>
    </row>
    <row r="212" spans="1:22" s="380" customFormat="1" ht="42" customHeight="1" x14ac:dyDescent="0.25">
      <c r="A212" s="441" t="s">
        <v>230</v>
      </c>
      <c r="B212" s="449" t="s">
        <v>246</v>
      </c>
      <c r="C212" s="449" t="s">
        <v>20</v>
      </c>
      <c r="D212" s="231">
        <v>771</v>
      </c>
      <c r="E212" s="230" t="s">
        <v>77</v>
      </c>
      <c r="F212" s="231">
        <v>4440102</v>
      </c>
      <c r="G212" s="232" t="s">
        <v>17</v>
      </c>
      <c r="H212" s="297">
        <v>14140.57</v>
      </c>
      <c r="I212" s="155"/>
      <c r="J212" s="155"/>
      <c r="K212" s="155"/>
      <c r="L212" s="155"/>
      <c r="M212" s="155"/>
      <c r="N212" s="155"/>
      <c r="O212" s="155"/>
      <c r="P212" s="471">
        <f>SUM(H212:O214:L215:M215:N215)</f>
        <v>142597.64000000001</v>
      </c>
      <c r="Q212" s="207"/>
      <c r="R212" s="207"/>
      <c r="S212" s="207"/>
      <c r="T212" s="207"/>
      <c r="U212" s="207"/>
      <c r="V212" s="207"/>
    </row>
    <row r="213" spans="1:22" s="380" customFormat="1" ht="42" customHeight="1" x14ac:dyDescent="0.25">
      <c r="A213" s="442"/>
      <c r="B213" s="444"/>
      <c r="C213" s="444"/>
      <c r="D213" s="288">
        <v>771</v>
      </c>
      <c r="E213" s="289" t="s">
        <v>77</v>
      </c>
      <c r="F213" s="250">
        <v>1192041</v>
      </c>
      <c r="G213" s="290" t="s">
        <v>28</v>
      </c>
      <c r="H213" s="161"/>
      <c r="I213" s="161">
        <v>17000</v>
      </c>
      <c r="J213" s="161">
        <f>17000-2550-5646-0.066</f>
        <v>8803.93</v>
      </c>
      <c r="K213" s="161"/>
      <c r="L213" s="161"/>
      <c r="M213" s="161"/>
      <c r="N213" s="161"/>
      <c r="O213" s="161"/>
      <c r="P213" s="459"/>
      <c r="Q213" s="207"/>
      <c r="R213" s="207"/>
      <c r="S213" s="207"/>
      <c r="T213" s="207"/>
      <c r="U213" s="207"/>
      <c r="V213" s="207"/>
    </row>
    <row r="214" spans="1:22" s="380" customFormat="1" ht="42" customHeight="1" x14ac:dyDescent="0.25">
      <c r="A214" s="442"/>
      <c r="B214" s="444"/>
      <c r="C214" s="444"/>
      <c r="D214" s="288">
        <v>771</v>
      </c>
      <c r="E214" s="289" t="s">
        <v>77</v>
      </c>
      <c r="F214" s="250">
        <v>1160222980</v>
      </c>
      <c r="G214" s="290" t="s">
        <v>28</v>
      </c>
      <c r="H214" s="161"/>
      <c r="I214" s="161"/>
      <c r="J214" s="161"/>
      <c r="K214" s="161">
        <v>13437.14</v>
      </c>
      <c r="L214" s="161"/>
      <c r="M214" s="161"/>
      <c r="N214" s="161"/>
      <c r="O214" s="161"/>
      <c r="P214" s="459"/>
      <c r="Q214" s="207"/>
      <c r="R214" s="207"/>
      <c r="S214" s="207"/>
      <c r="T214" s="207"/>
      <c r="U214" s="207"/>
      <c r="V214" s="207"/>
    </row>
    <row r="215" spans="1:22" s="380" customFormat="1" ht="42" customHeight="1" thickBot="1" x14ac:dyDescent="0.3">
      <c r="A215" s="533"/>
      <c r="B215" s="534"/>
      <c r="C215" s="534"/>
      <c r="D215" s="283">
        <v>771</v>
      </c>
      <c r="E215" s="381" t="s">
        <v>77</v>
      </c>
      <c r="F215" s="284">
        <v>1160298750</v>
      </c>
      <c r="G215" s="359" t="s">
        <v>28</v>
      </c>
      <c r="H215" s="179"/>
      <c r="I215" s="179"/>
      <c r="J215" s="179"/>
      <c r="K215" s="179"/>
      <c r="L215" s="179">
        <v>22304</v>
      </c>
      <c r="M215" s="179">
        <v>22304</v>
      </c>
      <c r="N215" s="179">
        <v>22304</v>
      </c>
      <c r="O215" s="179">
        <v>22304</v>
      </c>
      <c r="P215" s="472"/>
      <c r="Q215" s="207"/>
      <c r="R215" s="207"/>
      <c r="S215" s="207"/>
      <c r="T215" s="207"/>
      <c r="U215" s="207"/>
      <c r="V215" s="207"/>
    </row>
    <row r="216" spans="1:22" s="218" customFormat="1" ht="87" customHeight="1" x14ac:dyDescent="0.25">
      <c r="A216" s="441" t="s">
        <v>247</v>
      </c>
      <c r="B216" s="449" t="s">
        <v>88</v>
      </c>
      <c r="C216" s="449" t="s">
        <v>20</v>
      </c>
      <c r="D216" s="294">
        <v>771</v>
      </c>
      <c r="E216" s="295" t="s">
        <v>16</v>
      </c>
      <c r="F216" s="295" t="s">
        <v>89</v>
      </c>
      <c r="G216" s="382" t="s">
        <v>17</v>
      </c>
      <c r="H216" s="153">
        <v>20000</v>
      </c>
      <c r="I216" s="155"/>
      <c r="J216" s="155"/>
      <c r="K216" s="155"/>
      <c r="L216" s="155"/>
      <c r="M216" s="155"/>
      <c r="N216" s="155"/>
      <c r="O216" s="155"/>
      <c r="P216" s="474">
        <f>SUM(H216:O218)</f>
        <v>81884.350000000006</v>
      </c>
      <c r="Q216" s="207"/>
      <c r="R216" s="208"/>
      <c r="S216" s="208"/>
      <c r="T216" s="208"/>
      <c r="U216" s="208"/>
      <c r="V216" s="208"/>
    </row>
    <row r="217" spans="1:22" s="218" customFormat="1" ht="69.75" customHeight="1" x14ac:dyDescent="0.25">
      <c r="A217" s="442"/>
      <c r="B217" s="444"/>
      <c r="C217" s="444"/>
      <c r="D217" s="288">
        <v>771</v>
      </c>
      <c r="E217" s="289" t="s">
        <v>16</v>
      </c>
      <c r="F217" s="288">
        <v>1192154</v>
      </c>
      <c r="G217" s="383" t="s">
        <v>28</v>
      </c>
      <c r="H217" s="132"/>
      <c r="I217" s="132">
        <v>20000</v>
      </c>
      <c r="J217" s="129">
        <f>20000-2000-2</f>
        <v>17998</v>
      </c>
      <c r="K217" s="132"/>
      <c r="L217" s="132"/>
      <c r="M217" s="132"/>
      <c r="N217" s="132"/>
      <c r="O217" s="132"/>
      <c r="P217" s="468"/>
      <c r="Q217" s="207"/>
      <c r="R217" s="208"/>
      <c r="S217" s="208"/>
      <c r="T217" s="208"/>
      <c r="U217" s="208"/>
      <c r="V217" s="208"/>
    </row>
    <row r="218" spans="1:22" s="218" customFormat="1" ht="82.5" customHeight="1" thickBot="1" x14ac:dyDescent="0.3">
      <c r="A218" s="442"/>
      <c r="B218" s="450"/>
      <c r="C218" s="444"/>
      <c r="D218" s="291">
        <v>771</v>
      </c>
      <c r="E218" s="292" t="s">
        <v>16</v>
      </c>
      <c r="F218" s="291">
        <v>1160221540</v>
      </c>
      <c r="G218" s="384" t="s">
        <v>28</v>
      </c>
      <c r="H218" s="129"/>
      <c r="I218" s="129"/>
      <c r="J218" s="129"/>
      <c r="K218" s="129">
        <v>23886.35</v>
      </c>
      <c r="L218" s="129">
        <v>0</v>
      </c>
      <c r="M218" s="129">
        <v>0</v>
      </c>
      <c r="N218" s="129">
        <v>0</v>
      </c>
      <c r="O218" s="129">
        <v>0</v>
      </c>
      <c r="P218" s="468"/>
      <c r="Q218" s="207"/>
      <c r="R218" s="208"/>
      <c r="S218" s="208"/>
      <c r="T218" s="208"/>
      <c r="U218" s="208"/>
      <c r="V218" s="208"/>
    </row>
    <row r="219" spans="1:22" s="218" customFormat="1" ht="35.1" customHeight="1" x14ac:dyDescent="0.25">
      <c r="A219" s="536" t="s">
        <v>264</v>
      </c>
      <c r="B219" s="449" t="s">
        <v>81</v>
      </c>
      <c r="C219" s="449" t="s">
        <v>20</v>
      </c>
      <c r="D219" s="294">
        <v>771</v>
      </c>
      <c r="E219" s="295" t="s">
        <v>30</v>
      </c>
      <c r="F219" s="294">
        <v>5222500</v>
      </c>
      <c r="G219" s="382" t="s">
        <v>17</v>
      </c>
      <c r="H219" s="153">
        <v>5300</v>
      </c>
      <c r="I219" s="155"/>
      <c r="J219" s="155"/>
      <c r="K219" s="155"/>
      <c r="L219" s="155"/>
      <c r="M219" s="155"/>
      <c r="N219" s="155"/>
      <c r="O219" s="155"/>
      <c r="P219" s="474">
        <f>SUM(H219:O220)</f>
        <v>5800</v>
      </c>
      <c r="Q219" s="207"/>
      <c r="R219" s="208"/>
      <c r="S219" s="208"/>
      <c r="T219" s="208"/>
      <c r="U219" s="208"/>
      <c r="V219" s="208"/>
    </row>
    <row r="220" spans="1:22" s="218" customFormat="1" ht="35.1" customHeight="1" thickBot="1" x14ac:dyDescent="0.3">
      <c r="A220" s="479"/>
      <c r="B220" s="450"/>
      <c r="C220" s="450"/>
      <c r="D220" s="254">
        <v>771</v>
      </c>
      <c r="E220" s="296" t="s">
        <v>30</v>
      </c>
      <c r="F220" s="254">
        <v>1192072</v>
      </c>
      <c r="G220" s="385" t="s">
        <v>28</v>
      </c>
      <c r="H220" s="130"/>
      <c r="I220" s="130">
        <f>0+500</f>
        <v>500</v>
      </c>
      <c r="J220" s="130">
        <v>0</v>
      </c>
      <c r="K220" s="130">
        <v>0</v>
      </c>
      <c r="L220" s="130">
        <v>0</v>
      </c>
      <c r="M220" s="130">
        <v>0</v>
      </c>
      <c r="N220" s="130">
        <v>0</v>
      </c>
      <c r="O220" s="130">
        <v>0</v>
      </c>
      <c r="P220" s="475"/>
      <c r="Q220" s="207"/>
      <c r="R220" s="208"/>
      <c r="S220" s="208"/>
      <c r="T220" s="208"/>
      <c r="U220" s="208"/>
      <c r="V220" s="208"/>
    </row>
    <row r="221" spans="1:22" s="218" customFormat="1" ht="75.75" customHeight="1" thickBot="1" x14ac:dyDescent="0.3">
      <c r="A221" s="386" t="s">
        <v>265</v>
      </c>
      <c r="B221" s="175" t="s">
        <v>82</v>
      </c>
      <c r="C221" s="175" t="s">
        <v>20</v>
      </c>
      <c r="D221" s="302">
        <v>771</v>
      </c>
      <c r="E221" s="303" t="s">
        <v>30</v>
      </c>
      <c r="F221" s="302">
        <v>5223800</v>
      </c>
      <c r="G221" s="387" t="s">
        <v>17</v>
      </c>
      <c r="H221" s="125">
        <v>300</v>
      </c>
      <c r="I221" s="125">
        <v>0</v>
      </c>
      <c r="J221" s="125">
        <v>0</v>
      </c>
      <c r="K221" s="125">
        <v>0</v>
      </c>
      <c r="L221" s="125">
        <v>0</v>
      </c>
      <c r="M221" s="125">
        <v>0</v>
      </c>
      <c r="N221" s="125">
        <v>0</v>
      </c>
      <c r="O221" s="125">
        <v>0</v>
      </c>
      <c r="P221" s="125">
        <f>SUM(H221:O221)</f>
        <v>300</v>
      </c>
      <c r="Q221" s="207"/>
      <c r="R221" s="208"/>
      <c r="S221" s="208"/>
      <c r="T221" s="208"/>
      <c r="U221" s="208"/>
      <c r="V221" s="208"/>
    </row>
    <row r="222" spans="1:22" s="223" customFormat="1" ht="72" customHeight="1" thickBot="1" x14ac:dyDescent="0.3">
      <c r="A222" s="386" t="s">
        <v>266</v>
      </c>
      <c r="B222" s="388" t="s">
        <v>87</v>
      </c>
      <c r="C222" s="389" t="s">
        <v>20</v>
      </c>
      <c r="D222" s="390">
        <v>771</v>
      </c>
      <c r="E222" s="391" t="s">
        <v>30</v>
      </c>
      <c r="F222" s="390">
        <v>5225000</v>
      </c>
      <c r="G222" s="391" t="s">
        <v>17</v>
      </c>
      <c r="H222" s="168">
        <v>2300</v>
      </c>
      <c r="I222" s="168">
        <f>SUM(I283:I285)</f>
        <v>0</v>
      </c>
      <c r="J222" s="168">
        <f>SUM(J283:J285)</f>
        <v>0</v>
      </c>
      <c r="K222" s="168">
        <f>SUM(K283:K285)</f>
        <v>0</v>
      </c>
      <c r="L222" s="168">
        <f>SUM(L283:L285)</f>
        <v>0</v>
      </c>
      <c r="M222" s="168">
        <v>0</v>
      </c>
      <c r="N222" s="168">
        <v>0</v>
      </c>
      <c r="O222" s="168">
        <v>0</v>
      </c>
      <c r="P222" s="168">
        <f>SUM(H222:O222)</f>
        <v>2300</v>
      </c>
      <c r="Q222" s="207"/>
      <c r="R222" s="207"/>
      <c r="S222" s="207"/>
      <c r="T222" s="207"/>
      <c r="U222" s="207"/>
      <c r="V222" s="207"/>
    </row>
    <row r="223" spans="1:22" s="223" customFormat="1" ht="89.25" customHeight="1" thickBot="1" x14ac:dyDescent="0.3">
      <c r="A223" s="386" t="s">
        <v>402</v>
      </c>
      <c r="B223" s="368" t="s">
        <v>403</v>
      </c>
      <c r="C223" s="175" t="s">
        <v>20</v>
      </c>
      <c r="D223" s="302">
        <v>771</v>
      </c>
      <c r="E223" s="303" t="s">
        <v>16</v>
      </c>
      <c r="F223" s="302">
        <v>1160223280</v>
      </c>
      <c r="G223" s="303" t="s">
        <v>28</v>
      </c>
      <c r="H223" s="152"/>
      <c r="I223" s="152"/>
      <c r="J223" s="152"/>
      <c r="K223" s="152"/>
      <c r="L223" s="152">
        <v>3000</v>
      </c>
      <c r="M223" s="152">
        <v>3000</v>
      </c>
      <c r="N223" s="152">
        <v>3000</v>
      </c>
      <c r="O223" s="152">
        <v>3000</v>
      </c>
      <c r="P223" s="152">
        <f>SUM(H223:O223)</f>
        <v>12000</v>
      </c>
      <c r="Q223" s="207"/>
      <c r="R223" s="207"/>
      <c r="S223" s="207"/>
      <c r="T223" s="207"/>
      <c r="U223" s="207"/>
      <c r="V223" s="207"/>
    </row>
    <row r="224" spans="1:22" s="223" customFormat="1" ht="39" customHeight="1" thickBot="1" x14ac:dyDescent="0.3">
      <c r="A224" s="441" t="s">
        <v>165</v>
      </c>
      <c r="B224" s="438" t="s">
        <v>352</v>
      </c>
      <c r="C224" s="258" t="s">
        <v>27</v>
      </c>
      <c r="D224" s="258">
        <v>771</v>
      </c>
      <c r="E224" s="177" t="s">
        <v>291</v>
      </c>
      <c r="F224" s="177" t="s">
        <v>291</v>
      </c>
      <c r="G224" s="278" t="s">
        <v>291</v>
      </c>
      <c r="H224" s="164">
        <f>SUM(H225:H226)</f>
        <v>299108.59999999998</v>
      </c>
      <c r="I224" s="164">
        <f t="shared" ref="I224:K224" si="76">SUM(I225:I226)</f>
        <v>346902.08</v>
      </c>
      <c r="J224" s="164">
        <f t="shared" si="76"/>
        <v>215073.07</v>
      </c>
      <c r="K224" s="164">
        <f t="shared" si="76"/>
        <v>219911.24</v>
      </c>
      <c r="L224" s="164">
        <f>SUM(L225:L226)</f>
        <v>252628.92</v>
      </c>
      <c r="M224" s="164">
        <f t="shared" ref="M224:O224" si="77">SUM(M225:M226)</f>
        <v>252628.92</v>
      </c>
      <c r="N224" s="164">
        <f t="shared" si="77"/>
        <v>252628.92</v>
      </c>
      <c r="O224" s="164">
        <f t="shared" si="77"/>
        <v>252628.92</v>
      </c>
      <c r="P224" s="164">
        <f>SUM(H224:O224)</f>
        <v>2091510.67</v>
      </c>
      <c r="Q224" s="207"/>
      <c r="R224" s="207"/>
      <c r="S224" s="207"/>
      <c r="T224" s="207"/>
      <c r="U224" s="207"/>
      <c r="V224" s="207"/>
    </row>
    <row r="225" spans="1:22" s="223" customFormat="1" ht="117.75" customHeight="1" x14ac:dyDescent="0.25">
      <c r="A225" s="442"/>
      <c r="B225" s="439"/>
      <c r="C225" s="462" t="s">
        <v>20</v>
      </c>
      <c r="D225" s="272">
        <v>771</v>
      </c>
      <c r="E225" s="224" t="s">
        <v>291</v>
      </c>
      <c r="F225" s="224" t="s">
        <v>291</v>
      </c>
      <c r="G225" s="224" t="s">
        <v>291</v>
      </c>
      <c r="H225" s="140">
        <f>H227+SUM(H236:H243)+H244+H253+SUM(H257:H259)+SUM(H260:H263)</f>
        <v>299108.59999999998</v>
      </c>
      <c r="I225" s="140">
        <f t="shared" ref="I225" si="78">I227+SUM(I236:I243)+I244+I253+SUM(I257:I259)+SUM(I260:I263)</f>
        <v>346902.08</v>
      </c>
      <c r="J225" s="140">
        <f>J227+J244+J253+J257</f>
        <v>215073.07</v>
      </c>
      <c r="K225" s="140"/>
      <c r="L225" s="140"/>
      <c r="M225" s="140"/>
      <c r="N225" s="140"/>
      <c r="O225" s="140"/>
      <c r="P225" s="464">
        <f>SUM(H225:O226)</f>
        <v>2091510.67</v>
      </c>
      <c r="Q225" s="207"/>
      <c r="R225" s="207"/>
      <c r="S225" s="207"/>
      <c r="T225" s="207"/>
      <c r="U225" s="207"/>
      <c r="V225" s="207"/>
    </row>
    <row r="226" spans="1:22" s="223" customFormat="1" ht="124.5" customHeight="1" thickBot="1" x14ac:dyDescent="0.3">
      <c r="A226" s="443"/>
      <c r="B226" s="440"/>
      <c r="C226" s="463"/>
      <c r="D226" s="249">
        <v>771</v>
      </c>
      <c r="E226" s="248" t="s">
        <v>291</v>
      </c>
      <c r="F226" s="248" t="s">
        <v>281</v>
      </c>
      <c r="G226" s="248" t="s">
        <v>291</v>
      </c>
      <c r="H226" s="226"/>
      <c r="I226" s="226"/>
      <c r="J226" s="226"/>
      <c r="K226" s="121">
        <f>K227+K236+K238+K240+K242+K244+K258+K260+K262</f>
        <v>219911.24</v>
      </c>
      <c r="L226" s="121">
        <f>L227+L237+L239+L241+L243+L244+L259+L261+L263</f>
        <v>252628.92</v>
      </c>
      <c r="M226" s="121">
        <f t="shared" ref="M226:N226" si="79">M227+M237+M239+M241+M243+M244+M259+M261+M263</f>
        <v>252628.92</v>
      </c>
      <c r="N226" s="121">
        <f t="shared" si="79"/>
        <v>252628.92</v>
      </c>
      <c r="O226" s="121">
        <f>O227+O237+O239+O241+O243+O244+O259+O261+O263</f>
        <v>252628.92</v>
      </c>
      <c r="P226" s="465"/>
      <c r="Q226" s="207"/>
      <c r="R226" s="207"/>
      <c r="S226" s="207"/>
      <c r="T226" s="207"/>
      <c r="U226" s="207"/>
      <c r="V226" s="207"/>
    </row>
    <row r="227" spans="1:22" s="394" customFormat="1" ht="207.75" customHeight="1" thickBot="1" x14ac:dyDescent="0.3">
      <c r="A227" s="304" t="s">
        <v>231</v>
      </c>
      <c r="B227" s="392" t="s">
        <v>249</v>
      </c>
      <c r="C227" s="393" t="s">
        <v>20</v>
      </c>
      <c r="D227" s="231">
        <v>771</v>
      </c>
      <c r="E227" s="230" t="s">
        <v>76</v>
      </c>
      <c r="F227" s="230" t="s">
        <v>291</v>
      </c>
      <c r="G227" s="230" t="s">
        <v>280</v>
      </c>
      <c r="H227" s="153">
        <f>SUM(H228:H234)</f>
        <v>281511.33</v>
      </c>
      <c r="I227" s="153">
        <f>SUM(I228:I234)</f>
        <v>322585.7</v>
      </c>
      <c r="J227" s="153">
        <f>SUM(J228:J234)</f>
        <v>151467.28</v>
      </c>
      <c r="K227" s="153">
        <f>SUM(K228:K234)</f>
        <v>157617.16</v>
      </c>
      <c r="L227" s="153">
        <f>L231+L235</f>
        <v>180044.71</v>
      </c>
      <c r="M227" s="153">
        <f>M231+M235</f>
        <v>180044.71</v>
      </c>
      <c r="N227" s="153">
        <f>N231+N235</f>
        <v>180044.71</v>
      </c>
      <c r="O227" s="153">
        <f>O231+O235</f>
        <v>180044.71</v>
      </c>
      <c r="P227" s="153">
        <f>SUM(H227:O227)</f>
        <v>1633360.31</v>
      </c>
      <c r="Q227" s="207"/>
      <c r="R227" s="208"/>
      <c r="S227" s="208"/>
      <c r="T227" s="208"/>
      <c r="U227" s="208"/>
      <c r="V227" s="208"/>
    </row>
    <row r="228" spans="1:22" s="218" customFormat="1" ht="52.5" customHeight="1" x14ac:dyDescent="0.25">
      <c r="A228" s="441" t="s">
        <v>232</v>
      </c>
      <c r="B228" s="449" t="s">
        <v>143</v>
      </c>
      <c r="C228" s="449" t="s">
        <v>20</v>
      </c>
      <c r="D228" s="294">
        <v>771</v>
      </c>
      <c r="E228" s="295" t="s">
        <v>76</v>
      </c>
      <c r="F228" s="294">
        <v>4539900</v>
      </c>
      <c r="G228" s="382" t="s">
        <v>78</v>
      </c>
      <c r="H228" s="169">
        <v>190596.53</v>
      </c>
      <c r="I228" s="169"/>
      <c r="J228" s="169"/>
      <c r="K228" s="169"/>
      <c r="L228" s="169"/>
      <c r="M228" s="169"/>
      <c r="N228" s="169"/>
      <c r="O228" s="169"/>
      <c r="P228" s="474">
        <f>SUM(H228:O230:L231:M231:N231)</f>
        <v>1225195.71</v>
      </c>
      <c r="Q228" s="207"/>
      <c r="R228" s="208"/>
      <c r="S228" s="208"/>
      <c r="T228" s="208"/>
      <c r="U228" s="208"/>
      <c r="V228" s="208"/>
    </row>
    <row r="229" spans="1:22" s="218" customFormat="1" ht="60" customHeight="1" x14ac:dyDescent="0.25">
      <c r="A229" s="442"/>
      <c r="B229" s="444"/>
      <c r="C229" s="444"/>
      <c r="D229" s="288" t="s">
        <v>29</v>
      </c>
      <c r="E229" s="289" t="s">
        <v>76</v>
      </c>
      <c r="F229" s="288">
        <v>1197059</v>
      </c>
      <c r="G229" s="383" t="s">
        <v>78</v>
      </c>
      <c r="H229" s="132"/>
      <c r="I229" s="132">
        <v>133190.9</v>
      </c>
      <c r="J229" s="132">
        <v>129696.28</v>
      </c>
      <c r="K229" s="132"/>
      <c r="L229" s="132"/>
      <c r="M229" s="132"/>
      <c r="N229" s="132"/>
      <c r="O229" s="132"/>
      <c r="P229" s="468"/>
      <c r="Q229" s="207"/>
      <c r="R229" s="208"/>
      <c r="S229" s="208"/>
      <c r="T229" s="208"/>
      <c r="U229" s="208"/>
      <c r="V229" s="208"/>
    </row>
    <row r="230" spans="1:22" s="218" customFormat="1" ht="35.1" customHeight="1" thickBot="1" x14ac:dyDescent="0.3">
      <c r="A230" s="442"/>
      <c r="B230" s="444"/>
      <c r="C230" s="444"/>
      <c r="D230" s="254">
        <v>771</v>
      </c>
      <c r="E230" s="296" t="s">
        <v>76</v>
      </c>
      <c r="F230" s="254">
        <v>1160370590</v>
      </c>
      <c r="G230" s="385" t="s">
        <v>78</v>
      </c>
      <c r="H230" s="130"/>
      <c r="I230" s="130"/>
      <c r="J230" s="130"/>
      <c r="K230" s="130">
        <f>133196.28+3761+1659.87957</f>
        <v>138617.16</v>
      </c>
      <c r="L230" s="395"/>
      <c r="M230" s="395"/>
      <c r="O230" s="130"/>
      <c r="P230" s="468"/>
      <c r="Q230" s="207"/>
      <c r="R230" s="208"/>
      <c r="S230" s="208"/>
      <c r="T230" s="208"/>
      <c r="U230" s="208"/>
      <c r="V230" s="208"/>
    </row>
    <row r="231" spans="1:22" s="218" customFormat="1" ht="35.1" customHeight="1" thickBot="1" x14ac:dyDescent="0.3">
      <c r="A231" s="533"/>
      <c r="B231" s="534"/>
      <c r="C231" s="534"/>
      <c r="D231" s="396">
        <v>771</v>
      </c>
      <c r="E231" s="397" t="s">
        <v>76</v>
      </c>
      <c r="F231" s="396">
        <v>1160398730</v>
      </c>
      <c r="G231" s="398" t="s">
        <v>78</v>
      </c>
      <c r="H231" s="180"/>
      <c r="I231" s="180"/>
      <c r="J231" s="180"/>
      <c r="K231" s="180"/>
      <c r="L231" s="130">
        <v>158273.71</v>
      </c>
      <c r="M231" s="130">
        <v>158273.71</v>
      </c>
      <c r="N231" s="130">
        <v>158273.71</v>
      </c>
      <c r="O231" s="130">
        <v>158273.71</v>
      </c>
      <c r="P231" s="472"/>
      <c r="Q231" s="207"/>
      <c r="R231" s="208"/>
      <c r="S231" s="208"/>
      <c r="T231" s="208"/>
      <c r="U231" s="208"/>
      <c r="V231" s="208"/>
    </row>
    <row r="232" spans="1:22" s="218" customFormat="1" ht="35.1" customHeight="1" x14ac:dyDescent="0.25">
      <c r="A232" s="441" t="s">
        <v>233</v>
      </c>
      <c r="B232" s="449" t="s">
        <v>79</v>
      </c>
      <c r="C232" s="449" t="s">
        <v>20</v>
      </c>
      <c r="D232" s="294">
        <v>771</v>
      </c>
      <c r="E232" s="295" t="s">
        <v>76</v>
      </c>
      <c r="F232" s="294">
        <v>4539900</v>
      </c>
      <c r="G232" s="382" t="s">
        <v>65</v>
      </c>
      <c r="H232" s="153">
        <v>90914.8</v>
      </c>
      <c r="I232" s="155"/>
      <c r="J232" s="155"/>
      <c r="K232" s="155"/>
      <c r="L232" s="155"/>
      <c r="M232" s="155"/>
      <c r="N232" s="155"/>
      <c r="O232" s="155"/>
      <c r="P232" s="474">
        <f>SUM(H232:O234:L235:M235:N235)</f>
        <v>408164.6</v>
      </c>
      <c r="Q232" s="207"/>
      <c r="R232" s="208"/>
      <c r="S232" s="208"/>
      <c r="T232" s="208"/>
      <c r="U232" s="208"/>
      <c r="V232" s="208"/>
    </row>
    <row r="233" spans="1:22" s="218" customFormat="1" ht="35.1" customHeight="1" x14ac:dyDescent="0.25">
      <c r="A233" s="442"/>
      <c r="B233" s="444"/>
      <c r="C233" s="444"/>
      <c r="D233" s="288" t="s">
        <v>29</v>
      </c>
      <c r="E233" s="289" t="s">
        <v>76</v>
      </c>
      <c r="F233" s="288">
        <v>1197061</v>
      </c>
      <c r="G233" s="383" t="s">
        <v>65</v>
      </c>
      <c r="H233" s="132"/>
      <c r="I233" s="132">
        <f>186214.8+1200+1980</f>
        <v>189394.8</v>
      </c>
      <c r="J233" s="132">
        <f>188994.8-167223.8</f>
        <v>21771</v>
      </c>
      <c r="K233" s="132"/>
      <c r="L233" s="132"/>
      <c r="M233" s="132"/>
      <c r="N233" s="132"/>
      <c r="O233" s="132"/>
      <c r="P233" s="468"/>
      <c r="Q233" s="207"/>
      <c r="R233" s="208"/>
      <c r="S233" s="208"/>
      <c r="T233" s="208"/>
      <c r="U233" s="208"/>
      <c r="V233" s="208"/>
    </row>
    <row r="234" spans="1:22" s="218" customFormat="1" ht="68.25" customHeight="1" x14ac:dyDescent="0.25">
      <c r="A234" s="442"/>
      <c r="B234" s="444"/>
      <c r="C234" s="444"/>
      <c r="D234" s="288" t="s">
        <v>29</v>
      </c>
      <c r="E234" s="289" t="s">
        <v>76</v>
      </c>
      <c r="F234" s="288">
        <v>1160370610</v>
      </c>
      <c r="G234" s="383" t="s">
        <v>65</v>
      </c>
      <c r="H234" s="132"/>
      <c r="I234" s="132"/>
      <c r="J234" s="132"/>
      <c r="K234" s="132">
        <f>21771-2771</f>
        <v>19000</v>
      </c>
      <c r="L234" s="132"/>
      <c r="M234" s="132"/>
      <c r="N234" s="132"/>
      <c r="O234" s="132"/>
      <c r="P234" s="468"/>
      <c r="Q234" s="207"/>
      <c r="R234" s="208"/>
      <c r="S234" s="208"/>
      <c r="T234" s="208"/>
      <c r="U234" s="208"/>
      <c r="V234" s="208"/>
    </row>
    <row r="235" spans="1:22" s="218" customFormat="1" ht="68.25" customHeight="1" thickBot="1" x14ac:dyDescent="0.3">
      <c r="A235" s="533"/>
      <c r="B235" s="534"/>
      <c r="C235" s="534"/>
      <c r="D235" s="254">
        <v>771</v>
      </c>
      <c r="E235" s="296" t="s">
        <v>76</v>
      </c>
      <c r="F235" s="254">
        <v>1160398740</v>
      </c>
      <c r="G235" s="385" t="s">
        <v>65</v>
      </c>
      <c r="H235" s="130"/>
      <c r="I235" s="130"/>
      <c r="J235" s="130"/>
      <c r="K235" s="130"/>
      <c r="L235" s="130">
        <v>21771</v>
      </c>
      <c r="M235" s="130">
        <v>21771</v>
      </c>
      <c r="N235" s="130">
        <v>21771</v>
      </c>
      <c r="O235" s="130">
        <v>21771</v>
      </c>
      <c r="P235" s="472"/>
      <c r="Q235" s="207"/>
      <c r="R235" s="208"/>
      <c r="S235" s="208"/>
      <c r="T235" s="208"/>
      <c r="U235" s="208"/>
      <c r="V235" s="208"/>
    </row>
    <row r="236" spans="1:22" s="218" customFormat="1" ht="69.75" customHeight="1" x14ac:dyDescent="0.25">
      <c r="A236" s="441" t="s">
        <v>234</v>
      </c>
      <c r="B236" s="449" t="s">
        <v>353</v>
      </c>
      <c r="C236" s="449" t="s">
        <v>20</v>
      </c>
      <c r="D236" s="399">
        <v>771</v>
      </c>
      <c r="E236" s="400" t="s">
        <v>30</v>
      </c>
      <c r="F236" s="401" t="s">
        <v>250</v>
      </c>
      <c r="G236" s="286" t="s">
        <v>118</v>
      </c>
      <c r="H236" s="171">
        <v>0</v>
      </c>
      <c r="I236" s="171">
        <v>0</v>
      </c>
      <c r="J236" s="171">
        <v>0</v>
      </c>
      <c r="K236" s="171">
        <v>11198.48</v>
      </c>
      <c r="L236" s="171"/>
      <c r="M236" s="171"/>
      <c r="N236" s="171"/>
      <c r="O236" s="171"/>
      <c r="P236" s="474">
        <f>H236+I236+J236+K236+L237+M237+N237+O237</f>
        <v>56503.32</v>
      </c>
      <c r="Q236" s="207"/>
      <c r="R236" s="208"/>
      <c r="S236" s="208"/>
      <c r="T236" s="208"/>
      <c r="U236" s="208"/>
      <c r="V236" s="208"/>
    </row>
    <row r="237" spans="1:22" s="218" customFormat="1" ht="68.25" customHeight="1" x14ac:dyDescent="0.25">
      <c r="A237" s="442"/>
      <c r="B237" s="444"/>
      <c r="C237" s="444"/>
      <c r="D237" s="402">
        <v>771</v>
      </c>
      <c r="E237" s="403" t="s">
        <v>30</v>
      </c>
      <c r="F237" s="404" t="s">
        <v>404</v>
      </c>
      <c r="G237" s="289" t="s">
        <v>118</v>
      </c>
      <c r="H237" s="124"/>
      <c r="I237" s="124"/>
      <c r="J237" s="124"/>
      <c r="K237" s="124"/>
      <c r="L237" s="124">
        <v>11326.21</v>
      </c>
      <c r="M237" s="124">
        <v>11326.21</v>
      </c>
      <c r="N237" s="124">
        <v>11326.21</v>
      </c>
      <c r="O237" s="124">
        <v>11326.21</v>
      </c>
      <c r="P237" s="539"/>
      <c r="Q237" s="207"/>
      <c r="R237" s="208"/>
      <c r="S237" s="208"/>
      <c r="T237" s="208"/>
      <c r="U237" s="208"/>
      <c r="V237" s="208"/>
    </row>
    <row r="238" spans="1:22" s="394" customFormat="1" ht="84" customHeight="1" x14ac:dyDescent="0.25">
      <c r="A238" s="442"/>
      <c r="B238" s="444"/>
      <c r="C238" s="444"/>
      <c r="D238" s="399">
        <v>771</v>
      </c>
      <c r="E238" s="400" t="s">
        <v>30</v>
      </c>
      <c r="F238" s="401" t="s">
        <v>250</v>
      </c>
      <c r="G238" s="289" t="s">
        <v>119</v>
      </c>
      <c r="H238" s="124">
        <v>0</v>
      </c>
      <c r="I238" s="124">
        <v>0</v>
      </c>
      <c r="J238" s="124">
        <v>0</v>
      </c>
      <c r="K238" s="181">
        <v>1500</v>
      </c>
      <c r="L238" s="124"/>
      <c r="M238" s="124"/>
      <c r="N238" s="124"/>
      <c r="O238" s="124"/>
      <c r="P238" s="540">
        <f>H238+I238+J238+K238+L239+M239+N239+O239</f>
        <v>7323.2</v>
      </c>
      <c r="Q238" s="207"/>
      <c r="R238" s="208"/>
      <c r="S238" s="208"/>
      <c r="T238" s="208"/>
      <c r="U238" s="208"/>
      <c r="V238" s="208"/>
    </row>
    <row r="239" spans="1:22" s="394" customFormat="1" ht="100.5" customHeight="1" x14ac:dyDescent="0.25">
      <c r="A239" s="442"/>
      <c r="B239" s="444"/>
      <c r="C239" s="444"/>
      <c r="D239" s="402">
        <v>771</v>
      </c>
      <c r="E239" s="403" t="s">
        <v>30</v>
      </c>
      <c r="F239" s="404" t="s">
        <v>404</v>
      </c>
      <c r="G239" s="289" t="s">
        <v>119</v>
      </c>
      <c r="H239" s="124"/>
      <c r="I239" s="124"/>
      <c r="J239" s="124"/>
      <c r="K239" s="124"/>
      <c r="L239" s="124">
        <v>1455.8</v>
      </c>
      <c r="M239" s="124">
        <v>1455.8</v>
      </c>
      <c r="N239" s="124">
        <v>1455.8</v>
      </c>
      <c r="O239" s="124">
        <v>1455.8</v>
      </c>
      <c r="P239" s="541"/>
      <c r="Q239" s="207"/>
      <c r="R239" s="208"/>
      <c r="S239" s="208"/>
      <c r="T239" s="208"/>
      <c r="U239" s="208"/>
      <c r="V239" s="208"/>
    </row>
    <row r="240" spans="1:22" s="394" customFormat="1" ht="76.5" customHeight="1" x14ac:dyDescent="0.25">
      <c r="A240" s="537"/>
      <c r="B240" s="538"/>
      <c r="C240" s="538"/>
      <c r="D240" s="399">
        <v>771</v>
      </c>
      <c r="E240" s="400" t="s">
        <v>30</v>
      </c>
      <c r="F240" s="401" t="s">
        <v>250</v>
      </c>
      <c r="G240" s="383" t="s">
        <v>244</v>
      </c>
      <c r="H240" s="124">
        <v>0</v>
      </c>
      <c r="I240" s="124">
        <v>0</v>
      </c>
      <c r="J240" s="124">
        <v>0</v>
      </c>
      <c r="K240" s="181">
        <v>3418.16</v>
      </c>
      <c r="L240" s="124"/>
      <c r="M240" s="124"/>
      <c r="N240" s="124"/>
      <c r="O240" s="124"/>
      <c r="P240" s="540">
        <f>H240+I240+J240+K240+L241+M241+N241+O241</f>
        <v>17100.2</v>
      </c>
      <c r="Q240" s="207"/>
      <c r="R240" s="208"/>
      <c r="S240" s="208"/>
      <c r="T240" s="208"/>
      <c r="U240" s="208"/>
      <c r="V240" s="208"/>
    </row>
    <row r="241" spans="1:22" s="218" customFormat="1" ht="64.5" customHeight="1" x14ac:dyDescent="0.25">
      <c r="A241" s="537"/>
      <c r="B241" s="538"/>
      <c r="C241" s="538"/>
      <c r="D241" s="402">
        <v>771</v>
      </c>
      <c r="E241" s="403" t="s">
        <v>30</v>
      </c>
      <c r="F241" s="404" t="s">
        <v>404</v>
      </c>
      <c r="G241" s="383" t="s">
        <v>244</v>
      </c>
      <c r="H241" s="124"/>
      <c r="I241" s="124"/>
      <c r="J241" s="124"/>
      <c r="K241" s="124"/>
      <c r="L241" s="181">
        <v>3420.51</v>
      </c>
      <c r="M241" s="181">
        <v>3420.51</v>
      </c>
      <c r="N241" s="181">
        <v>3420.51</v>
      </c>
      <c r="O241" s="181">
        <v>3420.51</v>
      </c>
      <c r="P241" s="541"/>
      <c r="Q241" s="207"/>
      <c r="R241" s="208"/>
      <c r="S241" s="208"/>
      <c r="T241" s="208"/>
      <c r="U241" s="208"/>
      <c r="V241" s="208"/>
    </row>
    <row r="242" spans="1:22" s="218" customFormat="1" ht="55.5" customHeight="1" x14ac:dyDescent="0.25">
      <c r="A242" s="537"/>
      <c r="B242" s="538"/>
      <c r="C242" s="538"/>
      <c r="D242" s="399">
        <v>771</v>
      </c>
      <c r="E242" s="400" t="s">
        <v>30</v>
      </c>
      <c r="F242" s="401" t="s">
        <v>250</v>
      </c>
      <c r="G242" s="383" t="s">
        <v>28</v>
      </c>
      <c r="H242" s="124">
        <v>0</v>
      </c>
      <c r="I242" s="124">
        <v>0</v>
      </c>
      <c r="J242" s="124">
        <v>0</v>
      </c>
      <c r="K242" s="181">
        <v>4327</v>
      </c>
      <c r="L242" s="124"/>
      <c r="M242" s="124"/>
      <c r="N242" s="124"/>
      <c r="O242" s="124"/>
      <c r="P242" s="540">
        <f>H242+I242+J242+K242+L243+M243+N243+O243</f>
        <v>23756.720000000001</v>
      </c>
      <c r="Q242" s="207"/>
      <c r="R242" s="208"/>
      <c r="S242" s="208"/>
      <c r="T242" s="208"/>
      <c r="U242" s="208"/>
      <c r="V242" s="208"/>
    </row>
    <row r="243" spans="1:22" s="218" customFormat="1" ht="63.75" customHeight="1" thickBot="1" x14ac:dyDescent="0.3">
      <c r="A243" s="533"/>
      <c r="B243" s="534"/>
      <c r="C243" s="534"/>
      <c r="D243" s="402">
        <v>771</v>
      </c>
      <c r="E243" s="403" t="s">
        <v>30</v>
      </c>
      <c r="F243" s="404" t="s">
        <v>404</v>
      </c>
      <c r="G243" s="398" t="s">
        <v>28</v>
      </c>
      <c r="H243" s="189"/>
      <c r="I243" s="189"/>
      <c r="J243" s="189"/>
      <c r="K243" s="189"/>
      <c r="L243" s="184">
        <v>4857.43</v>
      </c>
      <c r="M243" s="184">
        <v>4857.43</v>
      </c>
      <c r="N243" s="184">
        <v>4857.43</v>
      </c>
      <c r="O243" s="184">
        <v>4857.43</v>
      </c>
      <c r="P243" s="535"/>
      <c r="Q243" s="207"/>
      <c r="R243" s="208"/>
      <c r="S243" s="208"/>
      <c r="T243" s="208"/>
      <c r="U243" s="208"/>
      <c r="V243" s="208"/>
    </row>
    <row r="244" spans="1:22" s="218" customFormat="1" ht="255.75" customHeight="1" thickBot="1" x14ac:dyDescent="0.3">
      <c r="A244" s="227" t="s">
        <v>235</v>
      </c>
      <c r="B244" s="175" t="s">
        <v>251</v>
      </c>
      <c r="C244" s="175" t="s">
        <v>20</v>
      </c>
      <c r="D244" s="228">
        <v>771</v>
      </c>
      <c r="E244" s="176" t="s">
        <v>77</v>
      </c>
      <c r="F244" s="176" t="s">
        <v>291</v>
      </c>
      <c r="G244" s="229" t="s">
        <v>291</v>
      </c>
      <c r="H244" s="170">
        <f>SUM(H245:H251)</f>
        <v>17597.27</v>
      </c>
      <c r="I244" s="170">
        <f>SUM(I245:I251)</f>
        <v>24196.38</v>
      </c>
      <c r="J244" s="170">
        <f>SUM(J245:J251)</f>
        <v>29927.7</v>
      </c>
      <c r="K244" s="170">
        <f>SUM(K245:K252)</f>
        <v>22074.26</v>
      </c>
      <c r="L244" s="170">
        <f>SUM(L245:L252)</f>
        <v>22074.26</v>
      </c>
      <c r="M244" s="170">
        <f>SUM(M245:M252)</f>
        <v>22074.26</v>
      </c>
      <c r="N244" s="170">
        <f>SUM(N245:N252)</f>
        <v>22074.26</v>
      </c>
      <c r="O244" s="170">
        <f>O248+O252</f>
        <v>22074.26</v>
      </c>
      <c r="P244" s="170">
        <f t="shared" ref="P244" si="80">SUM(H244:O244)</f>
        <v>182092.65</v>
      </c>
      <c r="Q244" s="207"/>
      <c r="R244" s="208"/>
      <c r="S244" s="208"/>
      <c r="T244" s="208"/>
      <c r="U244" s="208"/>
      <c r="V244" s="208"/>
    </row>
    <row r="245" spans="1:22" s="218" customFormat="1" ht="57.75" customHeight="1" x14ac:dyDescent="0.25">
      <c r="A245" s="441" t="s">
        <v>236</v>
      </c>
      <c r="B245" s="449" t="s">
        <v>145</v>
      </c>
      <c r="C245" s="449" t="s">
        <v>20</v>
      </c>
      <c r="D245" s="294">
        <v>771</v>
      </c>
      <c r="E245" s="295" t="s">
        <v>77</v>
      </c>
      <c r="F245" s="294">
        <v>4579900</v>
      </c>
      <c r="G245" s="382" t="s">
        <v>78</v>
      </c>
      <c r="H245" s="153">
        <v>16172.27</v>
      </c>
      <c r="I245" s="155"/>
      <c r="J245" s="155"/>
      <c r="K245" s="155"/>
      <c r="L245" s="155"/>
      <c r="M245" s="155"/>
      <c r="N245" s="155"/>
      <c r="O245" s="155"/>
      <c r="P245" s="474">
        <f>H245+I246+J246+K247+L248+M248+N248+O248</f>
        <v>176692.65</v>
      </c>
      <c r="Q245" s="207"/>
      <c r="R245" s="208"/>
      <c r="S245" s="208"/>
      <c r="T245" s="208"/>
      <c r="U245" s="208"/>
      <c r="V245" s="208"/>
    </row>
    <row r="246" spans="1:22" s="218" customFormat="1" ht="59.25" customHeight="1" x14ac:dyDescent="0.25">
      <c r="A246" s="442"/>
      <c r="B246" s="444"/>
      <c r="C246" s="444"/>
      <c r="D246" s="285">
        <v>771</v>
      </c>
      <c r="E246" s="286" t="s">
        <v>77</v>
      </c>
      <c r="F246" s="285">
        <v>1197059</v>
      </c>
      <c r="G246" s="405" t="s">
        <v>43</v>
      </c>
      <c r="H246" s="132"/>
      <c r="I246" s="132">
        <v>22771.38</v>
      </c>
      <c r="J246" s="132">
        <f>27266-1363.3+3600</f>
        <v>29502.7</v>
      </c>
      <c r="K246" s="172"/>
      <c r="L246" s="132"/>
      <c r="M246" s="132"/>
      <c r="N246" s="132"/>
      <c r="O246" s="132"/>
      <c r="P246" s="468"/>
      <c r="Q246" s="207"/>
      <c r="R246" s="208"/>
      <c r="S246" s="208"/>
      <c r="T246" s="208"/>
      <c r="U246" s="208"/>
      <c r="V246" s="208"/>
    </row>
    <row r="247" spans="1:22" s="218" customFormat="1" ht="78.75" customHeight="1" x14ac:dyDescent="0.25">
      <c r="A247" s="442"/>
      <c r="B247" s="444"/>
      <c r="C247" s="444"/>
      <c r="D247" s="288">
        <v>771</v>
      </c>
      <c r="E247" s="289" t="s">
        <v>77</v>
      </c>
      <c r="F247" s="288">
        <v>1160370590</v>
      </c>
      <c r="G247" s="383" t="s">
        <v>43</v>
      </c>
      <c r="H247" s="132"/>
      <c r="I247" s="132"/>
      <c r="J247" s="132"/>
      <c r="K247" s="132">
        <v>21649.26</v>
      </c>
      <c r="L247" s="132"/>
      <c r="M247" s="132"/>
      <c r="N247" s="132"/>
      <c r="O247" s="132"/>
      <c r="P247" s="468"/>
      <c r="Q247" s="207"/>
      <c r="R247" s="208"/>
      <c r="S247" s="208"/>
      <c r="T247" s="208"/>
      <c r="U247" s="208"/>
      <c r="V247" s="208"/>
    </row>
    <row r="248" spans="1:22" s="218" customFormat="1" ht="58.5" customHeight="1" thickBot="1" x14ac:dyDescent="0.3">
      <c r="A248" s="533"/>
      <c r="B248" s="534"/>
      <c r="C248" s="534"/>
      <c r="D248" s="288">
        <v>771</v>
      </c>
      <c r="E248" s="289" t="s">
        <v>77</v>
      </c>
      <c r="F248" s="254">
        <v>1160398730</v>
      </c>
      <c r="G248" s="385" t="s">
        <v>43</v>
      </c>
      <c r="H248" s="130"/>
      <c r="I248" s="130"/>
      <c r="J248" s="130"/>
      <c r="K248" s="130"/>
      <c r="L248" s="132">
        <v>21649.26</v>
      </c>
      <c r="M248" s="132">
        <v>21649.26</v>
      </c>
      <c r="N248" s="132">
        <v>21649.26</v>
      </c>
      <c r="O248" s="132">
        <v>21649.26</v>
      </c>
      <c r="P248" s="472"/>
      <c r="Q248" s="207"/>
      <c r="R248" s="208"/>
      <c r="S248" s="208"/>
      <c r="T248" s="208"/>
      <c r="U248" s="208"/>
      <c r="V248" s="208"/>
    </row>
    <row r="249" spans="1:22" s="218" customFormat="1" ht="92.25" customHeight="1" x14ac:dyDescent="0.25">
      <c r="A249" s="441" t="s">
        <v>237</v>
      </c>
      <c r="B249" s="449" t="s">
        <v>370</v>
      </c>
      <c r="C249" s="449" t="s">
        <v>20</v>
      </c>
      <c r="D249" s="285">
        <v>771</v>
      </c>
      <c r="E249" s="286" t="s">
        <v>77</v>
      </c>
      <c r="F249" s="285">
        <v>4579900</v>
      </c>
      <c r="G249" s="405" t="s">
        <v>65</v>
      </c>
      <c r="H249" s="307">
        <v>1425</v>
      </c>
      <c r="I249" s="158"/>
      <c r="J249" s="158"/>
      <c r="K249" s="158"/>
      <c r="L249" s="158"/>
      <c r="M249" s="158"/>
      <c r="N249" s="158"/>
      <c r="O249" s="158"/>
      <c r="P249" s="542">
        <f>SUM(H249:O251:L252:M252:N252)</f>
        <v>5400</v>
      </c>
      <c r="Q249" s="207"/>
      <c r="R249" s="208"/>
      <c r="S249" s="208"/>
      <c r="T249" s="208"/>
      <c r="U249" s="208"/>
      <c r="V249" s="208"/>
    </row>
    <row r="250" spans="1:22" s="218" customFormat="1" ht="101.25" customHeight="1" x14ac:dyDescent="0.25">
      <c r="A250" s="442"/>
      <c r="B250" s="444"/>
      <c r="C250" s="444"/>
      <c r="D250" s="288">
        <v>771</v>
      </c>
      <c r="E250" s="289" t="s">
        <v>77</v>
      </c>
      <c r="F250" s="288">
        <v>1197061</v>
      </c>
      <c r="G250" s="383" t="s">
        <v>46</v>
      </c>
      <c r="H250" s="132"/>
      <c r="I250" s="132">
        <v>1425</v>
      </c>
      <c r="J250" s="132">
        <v>425</v>
      </c>
      <c r="K250" s="132"/>
      <c r="L250" s="132"/>
      <c r="M250" s="132"/>
      <c r="N250" s="132"/>
      <c r="O250" s="132"/>
      <c r="P250" s="543"/>
      <c r="Q250" s="207"/>
      <c r="R250" s="208"/>
      <c r="S250" s="208"/>
      <c r="T250" s="208"/>
      <c r="U250" s="208"/>
      <c r="V250" s="208"/>
    </row>
    <row r="251" spans="1:22" s="218" customFormat="1" ht="82.5" customHeight="1" x14ac:dyDescent="0.25">
      <c r="A251" s="442"/>
      <c r="B251" s="444"/>
      <c r="C251" s="444"/>
      <c r="D251" s="288">
        <v>771</v>
      </c>
      <c r="E251" s="289" t="s">
        <v>77</v>
      </c>
      <c r="F251" s="288">
        <v>1160370610</v>
      </c>
      <c r="G251" s="289" t="s">
        <v>46</v>
      </c>
      <c r="H251" s="132"/>
      <c r="I251" s="132"/>
      <c r="J251" s="132"/>
      <c r="K251" s="132">
        <v>425</v>
      </c>
      <c r="L251" s="132"/>
      <c r="M251" s="129"/>
      <c r="N251" s="129"/>
      <c r="O251" s="132"/>
      <c r="P251" s="543"/>
      <c r="Q251" s="207"/>
      <c r="R251" s="208"/>
      <c r="S251" s="208"/>
      <c r="T251" s="208"/>
      <c r="U251" s="208"/>
      <c r="V251" s="208"/>
    </row>
    <row r="252" spans="1:22" s="218" customFormat="1" ht="67.5" customHeight="1" thickBot="1" x14ac:dyDescent="0.3">
      <c r="A252" s="533"/>
      <c r="B252" s="534"/>
      <c r="C252" s="534"/>
      <c r="D252" s="288">
        <v>771</v>
      </c>
      <c r="E252" s="289" t="s">
        <v>77</v>
      </c>
      <c r="F252" s="396">
        <v>1160398740</v>
      </c>
      <c r="G252" s="398" t="s">
        <v>46</v>
      </c>
      <c r="H252" s="180"/>
      <c r="I252" s="180"/>
      <c r="J252" s="180"/>
      <c r="K252" s="180"/>
      <c r="L252" s="132">
        <v>425</v>
      </c>
      <c r="M252" s="129">
        <v>425</v>
      </c>
      <c r="N252" s="129">
        <v>425</v>
      </c>
      <c r="O252" s="180">
        <v>425</v>
      </c>
      <c r="P252" s="535"/>
      <c r="Q252" s="207"/>
      <c r="R252" s="208"/>
      <c r="S252" s="208"/>
      <c r="T252" s="208"/>
      <c r="U252" s="208"/>
      <c r="V252" s="208"/>
    </row>
    <row r="253" spans="1:22" s="218" customFormat="1" ht="126" customHeight="1" thickBot="1" x14ac:dyDescent="0.3">
      <c r="A253" s="406" t="s">
        <v>238</v>
      </c>
      <c r="B253" s="259" t="s">
        <v>270</v>
      </c>
      <c r="C253" s="175" t="s">
        <v>20</v>
      </c>
      <c r="D253" s="228">
        <v>771</v>
      </c>
      <c r="E253" s="303" t="s">
        <v>76</v>
      </c>
      <c r="F253" s="176" t="s">
        <v>117</v>
      </c>
      <c r="G253" s="229" t="s">
        <v>271</v>
      </c>
      <c r="H253" s="170">
        <f>SUM(H254:H256)</f>
        <v>0</v>
      </c>
      <c r="I253" s="170">
        <f t="shared" ref="I253:O253" si="81">SUM(I254:I256)</f>
        <v>120</v>
      </c>
      <c r="J253" s="170">
        <f t="shared" si="81"/>
        <v>17128.09</v>
      </c>
      <c r="K253" s="170">
        <f t="shared" si="81"/>
        <v>0</v>
      </c>
      <c r="L253" s="170">
        <f t="shared" si="81"/>
        <v>0</v>
      </c>
      <c r="M253" s="170">
        <f t="shared" si="81"/>
        <v>0</v>
      </c>
      <c r="N253" s="170">
        <f t="shared" si="81"/>
        <v>0</v>
      </c>
      <c r="O253" s="170">
        <f t="shared" si="81"/>
        <v>0</v>
      </c>
      <c r="P253" s="125">
        <f>SUM(H253:O253)</f>
        <v>17248.09</v>
      </c>
      <c r="Q253" s="207"/>
      <c r="R253" s="208"/>
      <c r="S253" s="208"/>
      <c r="T253" s="208"/>
      <c r="U253" s="208"/>
      <c r="V253" s="208"/>
    </row>
    <row r="254" spans="1:22" s="218" customFormat="1" ht="108.75" customHeight="1" thickBot="1" x14ac:dyDescent="0.3">
      <c r="A254" s="406" t="s">
        <v>267</v>
      </c>
      <c r="B254" s="175" t="s">
        <v>144</v>
      </c>
      <c r="C254" s="175" t="s">
        <v>20</v>
      </c>
      <c r="D254" s="302">
        <v>771</v>
      </c>
      <c r="E254" s="303" t="s">
        <v>76</v>
      </c>
      <c r="F254" s="302">
        <v>1197059</v>
      </c>
      <c r="G254" s="387" t="s">
        <v>43</v>
      </c>
      <c r="H254" s="125">
        <v>0</v>
      </c>
      <c r="I254" s="125">
        <f>2000-2000</f>
        <v>0</v>
      </c>
      <c r="J254" s="125">
        <f>0+12318.09</f>
        <v>12318.09</v>
      </c>
      <c r="K254" s="125">
        <v>0</v>
      </c>
      <c r="L254" s="125">
        <v>0</v>
      </c>
      <c r="M254" s="125">
        <v>0</v>
      </c>
      <c r="N254" s="125">
        <v>0</v>
      </c>
      <c r="O254" s="125">
        <v>0</v>
      </c>
      <c r="P254" s="125">
        <f>SUM(H254:O254)</f>
        <v>12318.09</v>
      </c>
      <c r="Q254" s="207"/>
      <c r="R254" s="208"/>
      <c r="S254" s="208"/>
      <c r="T254" s="208"/>
      <c r="U254" s="208"/>
      <c r="V254" s="208"/>
    </row>
    <row r="255" spans="1:22" s="218" customFormat="1" ht="120" customHeight="1" thickBot="1" x14ac:dyDescent="0.3">
      <c r="A255" s="406" t="s">
        <v>268</v>
      </c>
      <c r="B255" s="175" t="s">
        <v>364</v>
      </c>
      <c r="C255" s="175" t="s">
        <v>20</v>
      </c>
      <c r="D255" s="302">
        <v>771</v>
      </c>
      <c r="E255" s="303" t="s">
        <v>76</v>
      </c>
      <c r="F255" s="228">
        <v>1197059</v>
      </c>
      <c r="G255" s="303" t="s">
        <v>46</v>
      </c>
      <c r="H255" s="125">
        <v>0</v>
      </c>
      <c r="I255" s="125">
        <v>0</v>
      </c>
      <c r="J255" s="125">
        <f>0+4810</f>
        <v>4810</v>
      </c>
      <c r="K255" s="125">
        <v>0</v>
      </c>
      <c r="L255" s="125">
        <v>0</v>
      </c>
      <c r="M255" s="125">
        <v>0</v>
      </c>
      <c r="N255" s="125">
        <v>0</v>
      </c>
      <c r="O255" s="125">
        <v>0</v>
      </c>
      <c r="P255" s="125">
        <f>SUM(H255:O255)</f>
        <v>4810</v>
      </c>
      <c r="Q255" s="207"/>
      <c r="R255" s="208"/>
      <c r="S255" s="208"/>
      <c r="T255" s="208"/>
      <c r="U255" s="208"/>
      <c r="V255" s="208"/>
    </row>
    <row r="256" spans="1:22" s="218" customFormat="1" ht="124.5" customHeight="1" thickBot="1" x14ac:dyDescent="0.3">
      <c r="A256" s="406" t="s">
        <v>269</v>
      </c>
      <c r="B256" s="175" t="s">
        <v>135</v>
      </c>
      <c r="C256" s="175" t="s">
        <v>20</v>
      </c>
      <c r="D256" s="302">
        <v>771</v>
      </c>
      <c r="E256" s="303" t="s">
        <v>76</v>
      </c>
      <c r="F256" s="302">
        <v>1197059</v>
      </c>
      <c r="G256" s="387" t="s">
        <v>46</v>
      </c>
      <c r="H256" s="125">
        <v>0</v>
      </c>
      <c r="I256" s="125">
        <f>1000-880</f>
        <v>120</v>
      </c>
      <c r="J256" s="125">
        <f>120-120</f>
        <v>0</v>
      </c>
      <c r="K256" s="125">
        <f t="shared" ref="K256:O256" si="82">120-120</f>
        <v>0</v>
      </c>
      <c r="L256" s="125">
        <f t="shared" si="82"/>
        <v>0</v>
      </c>
      <c r="M256" s="125">
        <f t="shared" si="82"/>
        <v>0</v>
      </c>
      <c r="N256" s="125">
        <f t="shared" si="82"/>
        <v>0</v>
      </c>
      <c r="O256" s="125">
        <f t="shared" si="82"/>
        <v>0</v>
      </c>
      <c r="P256" s="125">
        <f>SUM(H256:O256)</f>
        <v>120</v>
      </c>
      <c r="Q256" s="207"/>
      <c r="R256" s="208"/>
      <c r="S256" s="208"/>
      <c r="T256" s="208"/>
      <c r="U256" s="208"/>
      <c r="V256" s="208"/>
    </row>
    <row r="257" spans="1:22" s="223" customFormat="1" ht="75.75" customHeight="1" x14ac:dyDescent="0.25">
      <c r="A257" s="544" t="s">
        <v>239</v>
      </c>
      <c r="B257" s="481" t="s">
        <v>252</v>
      </c>
      <c r="C257" s="481" t="s">
        <v>20</v>
      </c>
      <c r="D257" s="407">
        <v>771</v>
      </c>
      <c r="E257" s="408" t="s">
        <v>30</v>
      </c>
      <c r="F257" s="408" t="s">
        <v>147</v>
      </c>
      <c r="G257" s="408" t="s">
        <v>146</v>
      </c>
      <c r="H257" s="153">
        <v>0</v>
      </c>
      <c r="I257" s="153">
        <v>0</v>
      </c>
      <c r="J257" s="153">
        <v>16550</v>
      </c>
      <c r="K257" s="155"/>
      <c r="L257" s="155"/>
      <c r="M257" s="155"/>
      <c r="N257" s="155"/>
      <c r="O257" s="155"/>
      <c r="P257" s="474">
        <f>H257+I257+J257+K258+L259+M259+N259+O259</f>
        <v>147888.43</v>
      </c>
      <c r="Q257" s="207"/>
      <c r="R257" s="208"/>
      <c r="S257" s="208"/>
      <c r="T257" s="208"/>
      <c r="U257" s="208"/>
      <c r="V257" s="208"/>
    </row>
    <row r="258" spans="1:22" s="223" customFormat="1" ht="104.25" customHeight="1" x14ac:dyDescent="0.25">
      <c r="A258" s="545"/>
      <c r="B258" s="482"/>
      <c r="C258" s="482"/>
      <c r="D258" s="409">
        <v>771</v>
      </c>
      <c r="E258" s="409">
        <v>1204</v>
      </c>
      <c r="F258" s="409">
        <v>1160360870</v>
      </c>
      <c r="G258" s="404" t="s">
        <v>146</v>
      </c>
      <c r="H258" s="132"/>
      <c r="I258" s="132"/>
      <c r="J258" s="132"/>
      <c r="K258" s="132">
        <f>29115.69-5000-3029.645-773.93117-973.68</f>
        <v>19338.43</v>
      </c>
      <c r="L258" s="132"/>
      <c r="M258" s="410"/>
      <c r="N258" s="410"/>
      <c r="O258" s="410"/>
      <c r="P258" s="468"/>
      <c r="Q258" s="207"/>
      <c r="R258" s="208"/>
      <c r="S258" s="208"/>
      <c r="T258" s="208"/>
      <c r="U258" s="208"/>
      <c r="V258" s="208"/>
    </row>
    <row r="259" spans="1:22" s="223" customFormat="1" ht="78.75" customHeight="1" thickBot="1" x14ac:dyDescent="0.3">
      <c r="A259" s="533"/>
      <c r="B259" s="534"/>
      <c r="C259" s="534"/>
      <c r="D259" s="409">
        <v>771</v>
      </c>
      <c r="E259" s="409">
        <v>1204</v>
      </c>
      <c r="F259" s="411">
        <v>1160398710</v>
      </c>
      <c r="G259" s="412" t="s">
        <v>405</v>
      </c>
      <c r="H259" s="180"/>
      <c r="I259" s="180"/>
      <c r="J259" s="180"/>
      <c r="K259" s="180"/>
      <c r="L259" s="180">
        <v>28000</v>
      </c>
      <c r="M259" s="185">
        <v>28000</v>
      </c>
      <c r="N259" s="185">
        <v>28000</v>
      </c>
      <c r="O259" s="185">
        <v>28000</v>
      </c>
      <c r="P259" s="472"/>
      <c r="Q259" s="207"/>
      <c r="R259" s="208"/>
      <c r="S259" s="208"/>
      <c r="T259" s="208"/>
      <c r="U259" s="208"/>
      <c r="V259" s="208"/>
    </row>
    <row r="260" spans="1:22" s="223" customFormat="1" ht="49.5" customHeight="1" thickBot="1" x14ac:dyDescent="0.3">
      <c r="A260" s="536" t="s">
        <v>326</v>
      </c>
      <c r="B260" s="481" t="s">
        <v>346</v>
      </c>
      <c r="C260" s="449" t="s">
        <v>20</v>
      </c>
      <c r="D260" s="230">
        <v>771</v>
      </c>
      <c r="E260" s="230" t="s">
        <v>30</v>
      </c>
      <c r="F260" s="230" t="s">
        <v>331</v>
      </c>
      <c r="G260" s="230" t="s">
        <v>332</v>
      </c>
      <c r="H260" s="160"/>
      <c r="I260" s="160"/>
      <c r="J260" s="160"/>
      <c r="K260" s="233">
        <f>2000-1922.459-6.07</f>
        <v>71.47</v>
      </c>
      <c r="L260" s="160"/>
      <c r="M260" s="233"/>
      <c r="N260" s="233"/>
      <c r="O260" s="233"/>
      <c r="P260" s="474">
        <f>K260+L261+M261+N261+O261</f>
        <v>1871.47</v>
      </c>
      <c r="Q260" s="207"/>
      <c r="R260" s="208"/>
      <c r="S260" s="208"/>
      <c r="T260" s="208"/>
      <c r="U260" s="208"/>
      <c r="V260" s="208"/>
    </row>
    <row r="261" spans="1:22" s="218" customFormat="1" ht="60.75" customHeight="1" thickBot="1" x14ac:dyDescent="0.3">
      <c r="A261" s="478"/>
      <c r="B261" s="482"/>
      <c r="C261" s="444"/>
      <c r="D261" s="230">
        <v>771</v>
      </c>
      <c r="E261" s="230" t="s">
        <v>30</v>
      </c>
      <c r="F261" s="269" t="s">
        <v>406</v>
      </c>
      <c r="G261" s="269" t="s">
        <v>332</v>
      </c>
      <c r="H261" s="163"/>
      <c r="I261" s="163"/>
      <c r="J261" s="163"/>
      <c r="K261" s="188"/>
      <c r="L261" s="188">
        <v>450</v>
      </c>
      <c r="M261" s="188">
        <v>450</v>
      </c>
      <c r="N261" s="188">
        <v>450</v>
      </c>
      <c r="O261" s="188">
        <v>450</v>
      </c>
      <c r="P261" s="472"/>
      <c r="Q261" s="207"/>
      <c r="R261" s="208"/>
      <c r="S261" s="208"/>
      <c r="T261" s="208"/>
      <c r="U261" s="208"/>
      <c r="V261" s="208"/>
    </row>
    <row r="262" spans="1:22" s="218" customFormat="1" ht="48.75" customHeight="1" thickBot="1" x14ac:dyDescent="0.3">
      <c r="A262" s="537"/>
      <c r="B262" s="538"/>
      <c r="C262" s="538"/>
      <c r="D262" s="284">
        <v>771</v>
      </c>
      <c r="E262" s="269" t="s">
        <v>30</v>
      </c>
      <c r="F262" s="269" t="s">
        <v>331</v>
      </c>
      <c r="G262" s="269" t="s">
        <v>333</v>
      </c>
      <c r="H262" s="163"/>
      <c r="I262" s="163"/>
      <c r="J262" s="163"/>
      <c r="K262" s="188">
        <f>3000-2547.372-86.35</f>
        <v>366.28</v>
      </c>
      <c r="L262" s="171"/>
      <c r="M262" s="171"/>
      <c r="N262" s="171"/>
      <c r="O262" s="171"/>
      <c r="P262" s="468">
        <f>K262+L263+M263+N263+O263</f>
        <v>4366.28</v>
      </c>
      <c r="Q262" s="207"/>
      <c r="R262" s="208"/>
      <c r="S262" s="208"/>
      <c r="T262" s="208"/>
      <c r="U262" s="208"/>
      <c r="V262" s="208"/>
    </row>
    <row r="263" spans="1:22" s="218" customFormat="1" ht="48" customHeight="1" thickBot="1" x14ac:dyDescent="0.3">
      <c r="A263" s="533"/>
      <c r="B263" s="534"/>
      <c r="C263" s="534"/>
      <c r="D263" s="284">
        <v>771</v>
      </c>
      <c r="E263" s="269" t="s">
        <v>30</v>
      </c>
      <c r="F263" s="269" t="s">
        <v>406</v>
      </c>
      <c r="G263" s="359" t="s">
        <v>333</v>
      </c>
      <c r="H263" s="163"/>
      <c r="I263" s="163"/>
      <c r="J263" s="163"/>
      <c r="K263" s="188"/>
      <c r="L263" s="189">
        <v>1000</v>
      </c>
      <c r="M263" s="189">
        <v>1000</v>
      </c>
      <c r="N263" s="189">
        <v>1000</v>
      </c>
      <c r="O263" s="189">
        <v>1000</v>
      </c>
      <c r="P263" s="472"/>
      <c r="Q263" s="207"/>
      <c r="R263" s="208"/>
      <c r="S263" s="208"/>
      <c r="T263" s="208"/>
      <c r="U263" s="208"/>
      <c r="V263" s="208"/>
    </row>
    <row r="264" spans="1:22" s="218" customFormat="1" ht="35.1" customHeight="1" thickBot="1" x14ac:dyDescent="0.3">
      <c r="A264" s="544" t="s">
        <v>166</v>
      </c>
      <c r="B264" s="549" t="s">
        <v>302</v>
      </c>
      <c r="C264" s="258" t="s">
        <v>27</v>
      </c>
      <c r="D264" s="258">
        <v>771</v>
      </c>
      <c r="E264" s="177" t="s">
        <v>291</v>
      </c>
      <c r="F264" s="177" t="s">
        <v>291</v>
      </c>
      <c r="G264" s="278" t="s">
        <v>291</v>
      </c>
      <c r="H264" s="164">
        <f>SUM(H265:H266)</f>
        <v>2300</v>
      </c>
      <c r="I264" s="164">
        <f>SUM(I265:I266)</f>
        <v>0</v>
      </c>
      <c r="J264" s="164">
        <f>SUM(J265:J266)</f>
        <v>11605.5</v>
      </c>
      <c r="K264" s="127">
        <f>K266</f>
        <v>13267.51</v>
      </c>
      <c r="L264" s="127">
        <f t="shared" ref="L264:O264" si="83">SUM(L267:L283)</f>
        <v>13231.96</v>
      </c>
      <c r="M264" s="127">
        <f t="shared" si="83"/>
        <v>13231.96</v>
      </c>
      <c r="N264" s="127">
        <f t="shared" si="83"/>
        <v>13231.96</v>
      </c>
      <c r="O264" s="127">
        <f t="shared" si="83"/>
        <v>13231.96</v>
      </c>
      <c r="P264" s="413">
        <f>SUM(H264:O264)</f>
        <v>80100.850000000006</v>
      </c>
      <c r="Q264" s="207"/>
      <c r="R264" s="208"/>
      <c r="S264" s="208"/>
      <c r="T264" s="208"/>
      <c r="U264" s="208"/>
      <c r="V264" s="208"/>
    </row>
    <row r="265" spans="1:22" s="218" customFormat="1" ht="35.1" customHeight="1" x14ac:dyDescent="0.25">
      <c r="A265" s="545"/>
      <c r="B265" s="550"/>
      <c r="C265" s="438" t="s">
        <v>20</v>
      </c>
      <c r="D265" s="272">
        <v>771</v>
      </c>
      <c r="E265" s="224" t="s">
        <v>291</v>
      </c>
      <c r="F265" s="224" t="s">
        <v>291</v>
      </c>
      <c r="G265" s="224" t="s">
        <v>291</v>
      </c>
      <c r="H265" s="145">
        <f>SUM(H267:H283)</f>
        <v>2300</v>
      </c>
      <c r="I265" s="145">
        <f>SUM(I267:I283)</f>
        <v>0</v>
      </c>
      <c r="J265" s="145">
        <f>SUM(J267:J283)</f>
        <v>11605.5</v>
      </c>
      <c r="K265" s="145"/>
      <c r="L265" s="145"/>
      <c r="M265" s="145"/>
      <c r="N265" s="145"/>
      <c r="O265" s="145"/>
      <c r="P265" s="553">
        <f>SUM(H265:O266)</f>
        <v>80100.850000000006</v>
      </c>
      <c r="Q265" s="207"/>
      <c r="R265" s="208"/>
      <c r="S265" s="208"/>
      <c r="T265" s="208"/>
      <c r="U265" s="208"/>
      <c r="V265" s="208"/>
    </row>
    <row r="266" spans="1:22" s="218" customFormat="1" ht="35.1" customHeight="1" thickBot="1" x14ac:dyDescent="0.3">
      <c r="A266" s="552"/>
      <c r="B266" s="551"/>
      <c r="C266" s="440"/>
      <c r="D266" s="249">
        <v>771</v>
      </c>
      <c r="E266" s="248" t="s">
        <v>291</v>
      </c>
      <c r="F266" s="248" t="s">
        <v>278</v>
      </c>
      <c r="G266" s="248" t="s">
        <v>291</v>
      </c>
      <c r="H266" s="226"/>
      <c r="I266" s="226"/>
      <c r="J266" s="226"/>
      <c r="K266" s="122">
        <f>K271+K272+K273+K274+K275+K281+K282+K283+K284+K285+K286</f>
        <v>13267.51</v>
      </c>
      <c r="L266" s="122">
        <f>L276+L277+L278+L279+L280+L281+L282+L283+L284+L285+L286</f>
        <v>13231.96</v>
      </c>
      <c r="M266" s="122">
        <f>M276+M277+M278+M279+M280+M281+M282+M283+M284+M285+M286</f>
        <v>13231.96</v>
      </c>
      <c r="N266" s="122">
        <f>SUM(N267:N283)+N282</f>
        <v>13231.96</v>
      </c>
      <c r="O266" s="122">
        <f>SUM(O267:O283)+O282</f>
        <v>13231.96</v>
      </c>
      <c r="P266" s="554"/>
      <c r="Q266" s="207"/>
      <c r="R266" s="208"/>
      <c r="S266" s="208"/>
      <c r="T266" s="208"/>
      <c r="U266" s="208"/>
      <c r="V266" s="208"/>
    </row>
    <row r="267" spans="1:22" s="218" customFormat="1" ht="35.1" customHeight="1" x14ac:dyDescent="0.25">
      <c r="A267" s="546" t="s">
        <v>240</v>
      </c>
      <c r="B267" s="481" t="s">
        <v>136</v>
      </c>
      <c r="C267" s="481" t="s">
        <v>20</v>
      </c>
      <c r="D267" s="407">
        <v>771</v>
      </c>
      <c r="E267" s="408" t="s">
        <v>30</v>
      </c>
      <c r="F267" s="408" t="s">
        <v>117</v>
      </c>
      <c r="G267" s="414" t="s">
        <v>118</v>
      </c>
      <c r="H267" s="153">
        <v>0</v>
      </c>
      <c r="I267" s="153">
        <v>0</v>
      </c>
      <c r="J267" s="153">
        <v>8006.66</v>
      </c>
      <c r="K267" s="155"/>
      <c r="L267" s="155"/>
      <c r="M267" s="155"/>
      <c r="N267" s="155"/>
      <c r="O267" s="155"/>
      <c r="P267" s="542">
        <f>H267+H268+H269+H270+I267+I268+I269+I270+J267+J268+J269+J270+K271+K272+K273+K274+K275+L276+L277+L278+L279+L280+M276+M277+M278+M279+M280+N276+N277+N278+N279+N280+O275+O276+O277+O278+O279+O280</f>
        <v>77535.850000000006</v>
      </c>
      <c r="Q267" s="207"/>
      <c r="R267" s="208"/>
      <c r="S267" s="208"/>
      <c r="T267" s="208"/>
      <c r="U267" s="208"/>
      <c r="V267" s="208"/>
    </row>
    <row r="268" spans="1:22" s="218" customFormat="1" ht="35.1" customHeight="1" x14ac:dyDescent="0.25">
      <c r="A268" s="547"/>
      <c r="B268" s="482"/>
      <c r="C268" s="482"/>
      <c r="D268" s="415">
        <v>771</v>
      </c>
      <c r="E268" s="404" t="s">
        <v>30</v>
      </c>
      <c r="F268" s="404" t="s">
        <v>117</v>
      </c>
      <c r="G268" s="416" t="s">
        <v>119</v>
      </c>
      <c r="H268" s="132">
        <v>0</v>
      </c>
      <c r="I268" s="132">
        <v>0</v>
      </c>
      <c r="J268" s="132">
        <f>176-151</f>
        <v>25</v>
      </c>
      <c r="K268" s="172"/>
      <c r="L268" s="172"/>
      <c r="M268" s="172"/>
      <c r="N268" s="172"/>
      <c r="O268" s="172"/>
      <c r="P268" s="543"/>
      <c r="Q268" s="207"/>
      <c r="R268" s="208"/>
      <c r="S268" s="208"/>
      <c r="T268" s="208"/>
      <c r="U268" s="208"/>
      <c r="V268" s="208"/>
    </row>
    <row r="269" spans="1:22" s="218" customFormat="1" ht="35.1" customHeight="1" x14ac:dyDescent="0.25">
      <c r="A269" s="547"/>
      <c r="B269" s="482"/>
      <c r="C269" s="482"/>
      <c r="D269" s="415">
        <v>771</v>
      </c>
      <c r="E269" s="404" t="s">
        <v>30</v>
      </c>
      <c r="F269" s="404" t="s">
        <v>117</v>
      </c>
      <c r="G269" s="416" t="s">
        <v>28</v>
      </c>
      <c r="H269" s="132">
        <v>0</v>
      </c>
      <c r="I269" s="132">
        <v>0</v>
      </c>
      <c r="J269" s="132">
        <f>8587.34-1449-3594.5</f>
        <v>3543.84</v>
      </c>
      <c r="K269" s="172"/>
      <c r="L269" s="172"/>
      <c r="M269" s="172"/>
      <c r="N269" s="172"/>
      <c r="O269" s="172"/>
      <c r="P269" s="543"/>
      <c r="Q269" s="207"/>
      <c r="R269" s="208"/>
      <c r="S269" s="208"/>
      <c r="T269" s="208"/>
      <c r="U269" s="208"/>
      <c r="V269" s="208"/>
    </row>
    <row r="270" spans="1:22" s="218" customFormat="1" ht="35.1" customHeight="1" x14ac:dyDescent="0.25">
      <c r="A270" s="547"/>
      <c r="B270" s="482"/>
      <c r="C270" s="482"/>
      <c r="D270" s="415">
        <v>771</v>
      </c>
      <c r="E270" s="404" t="s">
        <v>30</v>
      </c>
      <c r="F270" s="404" t="s">
        <v>117</v>
      </c>
      <c r="G270" s="416" t="s">
        <v>120</v>
      </c>
      <c r="H270" s="132">
        <v>0</v>
      </c>
      <c r="I270" s="132">
        <v>0</v>
      </c>
      <c r="J270" s="132">
        <v>30</v>
      </c>
      <c r="K270" s="173"/>
      <c r="L270" s="173"/>
      <c r="M270" s="173"/>
      <c r="N270" s="173"/>
      <c r="O270" s="173"/>
      <c r="P270" s="543"/>
      <c r="Q270" s="207"/>
      <c r="R270" s="208"/>
      <c r="S270" s="208"/>
      <c r="T270" s="208"/>
      <c r="U270" s="208"/>
      <c r="V270" s="208"/>
    </row>
    <row r="271" spans="1:22" s="353" customFormat="1" ht="35.1" customHeight="1" x14ac:dyDescent="0.25">
      <c r="A271" s="547"/>
      <c r="B271" s="482"/>
      <c r="C271" s="482"/>
      <c r="D271" s="415">
        <v>771</v>
      </c>
      <c r="E271" s="404" t="s">
        <v>30</v>
      </c>
      <c r="F271" s="404" t="s">
        <v>190</v>
      </c>
      <c r="G271" s="416" t="s">
        <v>118</v>
      </c>
      <c r="H271" s="132"/>
      <c r="I271" s="132"/>
      <c r="J271" s="132"/>
      <c r="K271" s="132">
        <f>7390.774+621.651</f>
        <v>8012.43</v>
      </c>
      <c r="L271" s="132"/>
      <c r="M271" s="132"/>
      <c r="N271" s="132"/>
      <c r="O271" s="132"/>
      <c r="P271" s="543"/>
      <c r="Q271" s="208"/>
      <c r="R271" s="208"/>
      <c r="S271" s="208"/>
      <c r="T271" s="208"/>
      <c r="U271" s="208"/>
      <c r="V271" s="208"/>
    </row>
    <row r="272" spans="1:22" s="353" customFormat="1" ht="57.75" customHeight="1" x14ac:dyDescent="0.25">
      <c r="A272" s="547"/>
      <c r="B272" s="482"/>
      <c r="C272" s="482"/>
      <c r="D272" s="415">
        <v>771</v>
      </c>
      <c r="E272" s="404" t="s">
        <v>30</v>
      </c>
      <c r="F272" s="404" t="s">
        <v>190</v>
      </c>
      <c r="G272" s="416" t="s">
        <v>119</v>
      </c>
      <c r="H272" s="132"/>
      <c r="I272" s="132"/>
      <c r="J272" s="132"/>
      <c r="K272" s="132">
        <f>25+192.1-135</f>
        <v>82.1</v>
      </c>
      <c r="L272" s="132"/>
      <c r="M272" s="132"/>
      <c r="N272" s="132"/>
      <c r="O272" s="132"/>
      <c r="P272" s="543"/>
      <c r="Q272" s="208"/>
      <c r="R272" s="208"/>
      <c r="S272" s="208"/>
      <c r="T272" s="208"/>
      <c r="U272" s="208"/>
      <c r="V272" s="208"/>
    </row>
    <row r="273" spans="1:22" s="353" customFormat="1" ht="53.25" customHeight="1" x14ac:dyDescent="0.25">
      <c r="A273" s="547"/>
      <c r="B273" s="482"/>
      <c r="C273" s="482"/>
      <c r="D273" s="415">
        <v>771</v>
      </c>
      <c r="E273" s="404" t="s">
        <v>30</v>
      </c>
      <c r="F273" s="404" t="s">
        <v>190</v>
      </c>
      <c r="G273" s="416" t="s">
        <v>244</v>
      </c>
      <c r="H273" s="124"/>
      <c r="I273" s="124"/>
      <c r="J273" s="124"/>
      <c r="K273" s="124">
        <f>2217.229+186.499</f>
        <v>2403.73</v>
      </c>
      <c r="L273" s="124"/>
      <c r="M273" s="124"/>
      <c r="N273" s="124"/>
      <c r="O273" s="124"/>
      <c r="P273" s="543"/>
      <c r="Q273" s="208"/>
      <c r="R273" s="208"/>
      <c r="S273" s="208"/>
      <c r="T273" s="208"/>
      <c r="U273" s="208"/>
      <c r="V273" s="208"/>
    </row>
    <row r="274" spans="1:22" s="209" customFormat="1" ht="48.75" customHeight="1" x14ac:dyDescent="0.25">
      <c r="A274" s="547"/>
      <c r="B274" s="482"/>
      <c r="C274" s="482"/>
      <c r="D274" s="415">
        <v>771</v>
      </c>
      <c r="E274" s="404" t="s">
        <v>30</v>
      </c>
      <c r="F274" s="404" t="s">
        <v>190</v>
      </c>
      <c r="G274" s="416" t="s">
        <v>28</v>
      </c>
      <c r="H274" s="132"/>
      <c r="I274" s="132"/>
      <c r="J274" s="132"/>
      <c r="K274" s="132">
        <f>5477-1752.75-500-215-300</f>
        <v>2709.25</v>
      </c>
      <c r="L274" s="132"/>
      <c r="M274" s="132"/>
      <c r="N274" s="132"/>
      <c r="O274" s="132"/>
      <c r="P274" s="543"/>
      <c r="Q274" s="208"/>
      <c r="R274" s="208"/>
      <c r="S274" s="208"/>
      <c r="T274" s="208"/>
      <c r="U274" s="208"/>
      <c r="V274" s="208"/>
    </row>
    <row r="275" spans="1:22" s="218" customFormat="1" ht="49.5" customHeight="1" thickBot="1" x14ac:dyDescent="0.3">
      <c r="A275" s="547"/>
      <c r="B275" s="482"/>
      <c r="C275" s="482"/>
      <c r="D275" s="417">
        <v>771</v>
      </c>
      <c r="E275" s="418" t="s">
        <v>30</v>
      </c>
      <c r="F275" s="418" t="s">
        <v>190</v>
      </c>
      <c r="G275" s="419" t="s">
        <v>120</v>
      </c>
      <c r="H275" s="130"/>
      <c r="I275" s="130"/>
      <c r="J275" s="130"/>
      <c r="K275" s="130">
        <f>30-22.5-7.5</f>
        <v>0</v>
      </c>
      <c r="L275" s="130"/>
      <c r="M275" s="420"/>
      <c r="N275" s="420"/>
      <c r="O275" s="420">
        <v>0</v>
      </c>
      <c r="P275" s="543"/>
      <c r="Q275" s="207"/>
      <c r="R275" s="208"/>
      <c r="S275" s="208"/>
      <c r="T275" s="208"/>
      <c r="U275" s="208"/>
      <c r="V275" s="208"/>
    </row>
    <row r="276" spans="1:22" s="218" customFormat="1" ht="40.5" customHeight="1" thickBot="1" x14ac:dyDescent="0.3">
      <c r="A276" s="537"/>
      <c r="B276" s="538"/>
      <c r="C276" s="538"/>
      <c r="D276" s="415">
        <v>771</v>
      </c>
      <c r="E276" s="421" t="s">
        <v>16</v>
      </c>
      <c r="F276" s="404" t="s">
        <v>190</v>
      </c>
      <c r="G276" s="416" t="s">
        <v>118</v>
      </c>
      <c r="H276" s="422"/>
      <c r="I276" s="182"/>
      <c r="J276" s="182"/>
      <c r="K276" s="182"/>
      <c r="L276" s="182">
        <v>8012.43</v>
      </c>
      <c r="M276" s="182">
        <v>8012.43</v>
      </c>
      <c r="N276" s="182">
        <v>8012.43</v>
      </c>
      <c r="O276" s="182">
        <v>8012.43</v>
      </c>
      <c r="P276" s="548"/>
      <c r="Q276" s="207"/>
      <c r="R276" s="208"/>
      <c r="S276" s="208"/>
      <c r="T276" s="208"/>
      <c r="U276" s="208"/>
      <c r="V276" s="208"/>
    </row>
    <row r="277" spans="1:22" s="218" customFormat="1" ht="46.5" customHeight="1" thickBot="1" x14ac:dyDescent="0.3">
      <c r="A277" s="537"/>
      <c r="B277" s="538"/>
      <c r="C277" s="538"/>
      <c r="D277" s="415">
        <v>771</v>
      </c>
      <c r="E277" s="421" t="s">
        <v>16</v>
      </c>
      <c r="F277" s="404" t="s">
        <v>190</v>
      </c>
      <c r="G277" s="416" t="s">
        <v>119</v>
      </c>
      <c r="H277" s="422"/>
      <c r="I277" s="182"/>
      <c r="J277" s="182"/>
      <c r="K277" s="182"/>
      <c r="L277" s="187">
        <v>155</v>
      </c>
      <c r="M277" s="186">
        <v>255</v>
      </c>
      <c r="N277" s="186">
        <v>255</v>
      </c>
      <c r="O277" s="186">
        <v>255</v>
      </c>
      <c r="P277" s="548"/>
      <c r="Q277" s="207"/>
      <c r="R277" s="208"/>
      <c r="S277" s="208"/>
      <c r="T277" s="208"/>
      <c r="U277" s="208"/>
      <c r="V277" s="208"/>
    </row>
    <row r="278" spans="1:22" s="218" customFormat="1" ht="41.25" customHeight="1" thickBot="1" x14ac:dyDescent="0.3">
      <c r="A278" s="537"/>
      <c r="B278" s="538"/>
      <c r="C278" s="538"/>
      <c r="D278" s="415">
        <v>771</v>
      </c>
      <c r="E278" s="421" t="s">
        <v>16</v>
      </c>
      <c r="F278" s="404" t="s">
        <v>190</v>
      </c>
      <c r="G278" s="416" t="s">
        <v>244</v>
      </c>
      <c r="H278" s="422"/>
      <c r="I278" s="182"/>
      <c r="J278" s="182"/>
      <c r="K278" s="182"/>
      <c r="L278" s="187">
        <v>2419.75</v>
      </c>
      <c r="M278" s="187">
        <v>2419.75</v>
      </c>
      <c r="N278" s="187">
        <v>2419.75</v>
      </c>
      <c r="O278" s="187">
        <v>2419.75</v>
      </c>
      <c r="P278" s="548"/>
      <c r="Q278" s="207"/>
      <c r="R278" s="208"/>
      <c r="S278" s="208"/>
      <c r="T278" s="208"/>
      <c r="U278" s="208"/>
      <c r="V278" s="208"/>
    </row>
    <row r="279" spans="1:22" s="218" customFormat="1" ht="46.5" customHeight="1" thickBot="1" x14ac:dyDescent="0.3">
      <c r="A279" s="537"/>
      <c r="B279" s="538"/>
      <c r="C279" s="538"/>
      <c r="D279" s="415">
        <v>771</v>
      </c>
      <c r="E279" s="421" t="s">
        <v>16</v>
      </c>
      <c r="F279" s="418" t="s">
        <v>190</v>
      </c>
      <c r="G279" s="416" t="s">
        <v>28</v>
      </c>
      <c r="H279" s="422"/>
      <c r="I279" s="182"/>
      <c r="J279" s="182"/>
      <c r="K279" s="182"/>
      <c r="L279" s="187">
        <v>2438.7800000000002</v>
      </c>
      <c r="M279" s="187">
        <v>2540.7800000000002</v>
      </c>
      <c r="N279" s="187">
        <v>2540.7800000000002</v>
      </c>
      <c r="O279" s="187">
        <v>2540.7800000000002</v>
      </c>
      <c r="P279" s="548"/>
      <c r="Q279" s="207"/>
      <c r="R279" s="208"/>
      <c r="S279" s="208"/>
      <c r="T279" s="208"/>
      <c r="U279" s="208"/>
      <c r="V279" s="208"/>
    </row>
    <row r="280" spans="1:22" s="218" customFormat="1" ht="46.5" customHeight="1" thickBot="1" x14ac:dyDescent="0.3">
      <c r="A280" s="533"/>
      <c r="B280" s="534"/>
      <c r="C280" s="534"/>
      <c r="D280" s="415">
        <v>771</v>
      </c>
      <c r="E280" s="421" t="s">
        <v>16</v>
      </c>
      <c r="F280" s="418" t="s">
        <v>190</v>
      </c>
      <c r="G280" s="423" t="s">
        <v>407</v>
      </c>
      <c r="H280" s="422"/>
      <c r="I280" s="182"/>
      <c r="J280" s="182"/>
      <c r="K280" s="182"/>
      <c r="L280" s="187">
        <v>1</v>
      </c>
      <c r="M280" s="187">
        <v>4</v>
      </c>
      <c r="N280" s="187">
        <v>4</v>
      </c>
      <c r="O280" s="187">
        <v>4</v>
      </c>
      <c r="P280" s="535"/>
      <c r="Q280" s="207"/>
      <c r="R280" s="208"/>
      <c r="S280" s="208"/>
      <c r="T280" s="208"/>
      <c r="U280" s="208"/>
      <c r="V280" s="208"/>
    </row>
    <row r="281" spans="1:22" s="218" customFormat="1" ht="167.25" customHeight="1" thickBot="1" x14ac:dyDescent="0.3">
      <c r="A281" s="406" t="s">
        <v>242</v>
      </c>
      <c r="B281" s="259" t="s">
        <v>243</v>
      </c>
      <c r="C281" s="259" t="s">
        <v>20</v>
      </c>
      <c r="D281" s="424">
        <v>771</v>
      </c>
      <c r="E281" s="425" t="s">
        <v>16</v>
      </c>
      <c r="F281" s="425" t="s">
        <v>273</v>
      </c>
      <c r="G281" s="425" t="s">
        <v>112</v>
      </c>
      <c r="H281" s="426">
        <v>0</v>
      </c>
      <c r="I281" s="125">
        <v>0</v>
      </c>
      <c r="J281" s="125">
        <v>0</v>
      </c>
      <c r="K281" s="125">
        <v>60</v>
      </c>
      <c r="L281" s="125">
        <v>15</v>
      </c>
      <c r="M281" s="427">
        <v>0</v>
      </c>
      <c r="N281" s="427">
        <v>0</v>
      </c>
      <c r="O281" s="427">
        <v>0</v>
      </c>
      <c r="P281" s="125">
        <f t="shared" ref="P281" si="84">SUM(H281:O281)</f>
        <v>75</v>
      </c>
      <c r="Q281" s="207"/>
      <c r="R281" s="208"/>
      <c r="S281" s="208"/>
      <c r="T281" s="208"/>
      <c r="U281" s="208"/>
      <c r="V281" s="208"/>
    </row>
    <row r="282" spans="1:22" s="218" customFormat="1" ht="141" customHeight="1" thickBot="1" x14ac:dyDescent="0.3">
      <c r="A282" s="386" t="s">
        <v>277</v>
      </c>
      <c r="B282" s="175" t="s">
        <v>328</v>
      </c>
      <c r="C282" s="175" t="s">
        <v>20</v>
      </c>
      <c r="D282" s="302">
        <v>771</v>
      </c>
      <c r="E282" s="303" t="s">
        <v>16</v>
      </c>
      <c r="F282" s="303" t="s">
        <v>348</v>
      </c>
      <c r="G282" s="303" t="s">
        <v>28</v>
      </c>
      <c r="H282" s="125"/>
      <c r="I282" s="125"/>
      <c r="J282" s="125"/>
      <c r="K282" s="125">
        <f>500-500</f>
        <v>0</v>
      </c>
      <c r="L282" s="125">
        <v>190</v>
      </c>
      <c r="M282" s="125">
        <v>0</v>
      </c>
      <c r="N282" s="125">
        <v>0</v>
      </c>
      <c r="O282" s="125">
        <v>0</v>
      </c>
      <c r="P282" s="125">
        <f>SUM(K282:O282)</f>
        <v>190</v>
      </c>
      <c r="Q282" s="207"/>
      <c r="R282" s="208"/>
      <c r="S282" s="208"/>
      <c r="T282" s="208"/>
      <c r="U282" s="208"/>
      <c r="V282" s="208"/>
    </row>
    <row r="283" spans="1:22" s="174" customFormat="1" ht="66.75" thickBot="1" x14ac:dyDescent="0.3">
      <c r="A283" s="386" t="s">
        <v>327</v>
      </c>
      <c r="B283" s="175" t="s">
        <v>83</v>
      </c>
      <c r="C283" s="175" t="s">
        <v>20</v>
      </c>
      <c r="D283" s="228">
        <v>771</v>
      </c>
      <c r="E283" s="176" t="s">
        <v>30</v>
      </c>
      <c r="F283" s="176" t="s">
        <v>279</v>
      </c>
      <c r="G283" s="229" t="s">
        <v>17</v>
      </c>
      <c r="H283" s="152">
        <f>SUM(H284:H286)</f>
        <v>2300</v>
      </c>
      <c r="I283" s="152">
        <f t="shared" ref="I283:O283" si="85">SUM(I284:I286)</f>
        <v>0</v>
      </c>
      <c r="J283" s="152">
        <f t="shared" si="85"/>
        <v>0</v>
      </c>
      <c r="K283" s="152">
        <f t="shared" si="85"/>
        <v>0</v>
      </c>
      <c r="L283" s="152">
        <f t="shared" si="85"/>
        <v>0</v>
      </c>
      <c r="M283" s="152">
        <f t="shared" si="85"/>
        <v>0</v>
      </c>
      <c r="N283" s="152">
        <f t="shared" si="85"/>
        <v>0</v>
      </c>
      <c r="O283" s="152">
        <f t="shared" si="85"/>
        <v>0</v>
      </c>
      <c r="P283" s="152">
        <f>SUM(H283:O283)</f>
        <v>2300</v>
      </c>
      <c r="Q283" s="428"/>
      <c r="R283" s="200"/>
      <c r="S283" s="200"/>
      <c r="T283" s="200"/>
      <c r="U283" s="200"/>
      <c r="V283" s="200"/>
    </row>
    <row r="284" spans="1:22" s="174" customFormat="1" ht="126" customHeight="1" thickBot="1" x14ac:dyDescent="0.3">
      <c r="A284" s="429" t="s">
        <v>334</v>
      </c>
      <c r="B284" s="220" t="s">
        <v>84</v>
      </c>
      <c r="C284" s="220" t="s">
        <v>20</v>
      </c>
      <c r="D284" s="396">
        <v>771</v>
      </c>
      <c r="E284" s="397" t="s">
        <v>30</v>
      </c>
      <c r="F284" s="396">
        <v>5225200</v>
      </c>
      <c r="G284" s="398" t="s">
        <v>17</v>
      </c>
      <c r="H284" s="189">
        <v>300</v>
      </c>
      <c r="I284" s="189">
        <v>0</v>
      </c>
      <c r="J284" s="189">
        <v>0</v>
      </c>
      <c r="K284" s="189">
        <v>0</v>
      </c>
      <c r="L284" s="189">
        <v>0</v>
      </c>
      <c r="M284" s="189">
        <v>0</v>
      </c>
      <c r="N284" s="189">
        <v>0</v>
      </c>
      <c r="O284" s="189">
        <v>0</v>
      </c>
      <c r="P284" s="189">
        <f>SUM(H284:L284)</f>
        <v>300</v>
      </c>
      <c r="Q284" s="428"/>
      <c r="R284" s="200"/>
      <c r="S284" s="200"/>
      <c r="T284" s="200"/>
      <c r="U284" s="200"/>
      <c r="V284" s="200"/>
    </row>
    <row r="285" spans="1:22" ht="93" customHeight="1" thickBot="1" x14ac:dyDescent="0.3">
      <c r="A285" s="386" t="s">
        <v>335</v>
      </c>
      <c r="B285" s="175" t="s">
        <v>85</v>
      </c>
      <c r="C285" s="175" t="s">
        <v>20</v>
      </c>
      <c r="D285" s="302">
        <v>771</v>
      </c>
      <c r="E285" s="303" t="s">
        <v>30</v>
      </c>
      <c r="F285" s="302">
        <v>5225000</v>
      </c>
      <c r="G285" s="387" t="s">
        <v>17</v>
      </c>
      <c r="H285" s="125">
        <v>1500</v>
      </c>
      <c r="I285" s="125">
        <v>0</v>
      </c>
      <c r="J285" s="125">
        <v>0</v>
      </c>
      <c r="K285" s="125">
        <v>0</v>
      </c>
      <c r="L285" s="125">
        <v>0</v>
      </c>
      <c r="M285" s="125">
        <v>0</v>
      </c>
      <c r="N285" s="125">
        <v>0</v>
      </c>
      <c r="O285" s="125">
        <v>0</v>
      </c>
      <c r="P285" s="125">
        <f>SUM(H285:L285)</f>
        <v>1500</v>
      </c>
    </row>
    <row r="286" spans="1:22" ht="138" customHeight="1" thickBot="1" x14ac:dyDescent="0.3">
      <c r="A286" s="386" t="s">
        <v>336</v>
      </c>
      <c r="B286" s="175" t="s">
        <v>86</v>
      </c>
      <c r="C286" s="175" t="s">
        <v>20</v>
      </c>
      <c r="D286" s="302">
        <v>771</v>
      </c>
      <c r="E286" s="303" t="s">
        <v>30</v>
      </c>
      <c r="F286" s="302">
        <v>5225000</v>
      </c>
      <c r="G286" s="303" t="s">
        <v>17</v>
      </c>
      <c r="H286" s="125">
        <v>500</v>
      </c>
      <c r="I286" s="125">
        <v>0</v>
      </c>
      <c r="J286" s="125">
        <v>0</v>
      </c>
      <c r="K286" s="125">
        <v>0</v>
      </c>
      <c r="L286" s="125">
        <v>0</v>
      </c>
      <c r="M286" s="125">
        <v>0</v>
      </c>
      <c r="N286" s="125">
        <v>0</v>
      </c>
      <c r="O286" s="125">
        <v>0</v>
      </c>
      <c r="P286" s="125">
        <f>SUM(H286:L286)</f>
        <v>500</v>
      </c>
    </row>
    <row r="287" spans="1:22" x14ac:dyDescent="0.25">
      <c r="A287" s="174"/>
      <c r="B287" s="174"/>
      <c r="C287" s="174"/>
      <c r="D287" s="174"/>
      <c r="E287" s="174"/>
      <c r="F287" s="174"/>
      <c r="G287" s="174"/>
      <c r="H287" s="174"/>
      <c r="I287" s="174"/>
      <c r="J287" s="174"/>
      <c r="K287" s="174"/>
      <c r="L287" s="174"/>
      <c r="M287" s="174"/>
      <c r="N287" s="174"/>
      <c r="O287" s="174"/>
      <c r="P287" s="174"/>
    </row>
    <row r="288" spans="1:22" ht="30.75" x14ac:dyDescent="0.25">
      <c r="A288" s="174"/>
      <c r="B288" s="430"/>
      <c r="C288" s="431"/>
      <c r="D288" s="174"/>
      <c r="E288" s="174"/>
      <c r="F288" s="174"/>
      <c r="G288" s="174"/>
      <c r="H288" s="174"/>
      <c r="I288" s="174"/>
      <c r="J288" s="174"/>
      <c r="K288" s="174"/>
      <c r="L288" s="174"/>
      <c r="M288" s="174"/>
      <c r="N288" s="174"/>
      <c r="O288" s="174"/>
      <c r="P288" s="432" t="s">
        <v>303</v>
      </c>
    </row>
    <row r="289" spans="2:2" ht="15.75" x14ac:dyDescent="0.25">
      <c r="B289" s="430"/>
    </row>
  </sheetData>
  <autoFilter ref="D12:G286"/>
  <mergeCells count="282">
    <mergeCell ref="A260:A263"/>
    <mergeCell ref="B260:B263"/>
    <mergeCell ref="C260:C263"/>
    <mergeCell ref="P260:P261"/>
    <mergeCell ref="P262:P263"/>
    <mergeCell ref="A267:A280"/>
    <mergeCell ref="B267:B280"/>
    <mergeCell ref="C267:C280"/>
    <mergeCell ref="P267:P280"/>
    <mergeCell ref="B264:B266"/>
    <mergeCell ref="A264:A266"/>
    <mergeCell ref="C265:C266"/>
    <mergeCell ref="P265:P266"/>
    <mergeCell ref="A245:A248"/>
    <mergeCell ref="B245:B248"/>
    <mergeCell ref="C245:C248"/>
    <mergeCell ref="P245:P248"/>
    <mergeCell ref="A249:A252"/>
    <mergeCell ref="B249:B252"/>
    <mergeCell ref="C249:C252"/>
    <mergeCell ref="P249:P252"/>
    <mergeCell ref="A257:A259"/>
    <mergeCell ref="B257:B259"/>
    <mergeCell ref="C257:C259"/>
    <mergeCell ref="P257:P259"/>
    <mergeCell ref="A232:A235"/>
    <mergeCell ref="B232:B235"/>
    <mergeCell ref="C232:C235"/>
    <mergeCell ref="P232:P235"/>
    <mergeCell ref="A236:A243"/>
    <mergeCell ref="B236:B243"/>
    <mergeCell ref="C236:C243"/>
    <mergeCell ref="P236:P237"/>
    <mergeCell ref="P238:P239"/>
    <mergeCell ref="P240:P241"/>
    <mergeCell ref="P242:P243"/>
    <mergeCell ref="A212:A215"/>
    <mergeCell ref="B212:B215"/>
    <mergeCell ref="C212:C215"/>
    <mergeCell ref="P212:P215"/>
    <mergeCell ref="A228:A231"/>
    <mergeCell ref="B228:B231"/>
    <mergeCell ref="C228:C231"/>
    <mergeCell ref="P228:P231"/>
    <mergeCell ref="A208:A211"/>
    <mergeCell ref="B208:B211"/>
    <mergeCell ref="C208:C211"/>
    <mergeCell ref="A219:A220"/>
    <mergeCell ref="B219:B220"/>
    <mergeCell ref="P216:P218"/>
    <mergeCell ref="A216:A218"/>
    <mergeCell ref="B216:B218"/>
    <mergeCell ref="C216:C218"/>
    <mergeCell ref="P219:P220"/>
    <mergeCell ref="P109:P116"/>
    <mergeCell ref="C96:C98"/>
    <mergeCell ref="P117:P119"/>
    <mergeCell ref="A86:A88"/>
    <mergeCell ref="B86:B88"/>
    <mergeCell ref="C86:C88"/>
    <mergeCell ref="A89:A91"/>
    <mergeCell ref="B89:B91"/>
    <mergeCell ref="C89:C91"/>
    <mergeCell ref="A109:A116"/>
    <mergeCell ref="B109:B116"/>
    <mergeCell ref="C109:C116"/>
    <mergeCell ref="C79:C80"/>
    <mergeCell ref="P86:P88"/>
    <mergeCell ref="P81:P84"/>
    <mergeCell ref="A96:A98"/>
    <mergeCell ref="B96:B98"/>
    <mergeCell ref="C102:C103"/>
    <mergeCell ref="P107:P108"/>
    <mergeCell ref="A106:A108"/>
    <mergeCell ref="B106:B108"/>
    <mergeCell ref="A92:A95"/>
    <mergeCell ref="C107:C108"/>
    <mergeCell ref="A145:A147"/>
    <mergeCell ref="B145:B147"/>
    <mergeCell ref="A157:A159"/>
    <mergeCell ref="B157:B159"/>
    <mergeCell ref="A192:A193"/>
    <mergeCell ref="B192:B193"/>
    <mergeCell ref="A198:A200"/>
    <mergeCell ref="B198:B200"/>
    <mergeCell ref="B165:B171"/>
    <mergeCell ref="A165:A171"/>
    <mergeCell ref="A161:A162"/>
    <mergeCell ref="B161:B162"/>
    <mergeCell ref="B195:B197"/>
    <mergeCell ref="A195:A197"/>
    <mergeCell ref="A148:A150"/>
    <mergeCell ref="P55:P56"/>
    <mergeCell ref="P29:P30"/>
    <mergeCell ref="P31:P32"/>
    <mergeCell ref="P33:P34"/>
    <mergeCell ref="J53:J54"/>
    <mergeCell ref="P35:P36"/>
    <mergeCell ref="P37:P38"/>
    <mergeCell ref="P53:P54"/>
    <mergeCell ref="P45:P49"/>
    <mergeCell ref="L53:L54"/>
    <mergeCell ref="M53:M54"/>
    <mergeCell ref="N53:N54"/>
    <mergeCell ref="P42:P44"/>
    <mergeCell ref="A4:P4"/>
    <mergeCell ref="A5:P5"/>
    <mergeCell ref="P9:P10"/>
    <mergeCell ref="F9:F10"/>
    <mergeCell ref="L9:L10"/>
    <mergeCell ref="K9:K10"/>
    <mergeCell ref="A12:A21"/>
    <mergeCell ref="H7:P8"/>
    <mergeCell ref="M9:M10"/>
    <mergeCell ref="O9:O10"/>
    <mergeCell ref="N9:N10"/>
    <mergeCell ref="H9:H10"/>
    <mergeCell ref="I9:I10"/>
    <mergeCell ref="J9:J10"/>
    <mergeCell ref="B12:B21"/>
    <mergeCell ref="D9:D10"/>
    <mergeCell ref="G9:G10"/>
    <mergeCell ref="D7:G8"/>
    <mergeCell ref="B7:B10"/>
    <mergeCell ref="A33:A34"/>
    <mergeCell ref="B55:B56"/>
    <mergeCell ref="A55:A56"/>
    <mergeCell ref="B33:B34"/>
    <mergeCell ref="B37:B38"/>
    <mergeCell ref="B35:B36"/>
    <mergeCell ref="C37:C38"/>
    <mergeCell ref="C40:C41"/>
    <mergeCell ref="A39:A41"/>
    <mergeCell ref="B39:B41"/>
    <mergeCell ref="A53:A54"/>
    <mergeCell ref="A42:A44"/>
    <mergeCell ref="A50:A52"/>
    <mergeCell ref="C55:C56"/>
    <mergeCell ref="A35:A36"/>
    <mergeCell ref="A37:A38"/>
    <mergeCell ref="C45:C49"/>
    <mergeCell ref="C33:C34"/>
    <mergeCell ref="C53:C54"/>
    <mergeCell ref="A45:A49"/>
    <mergeCell ref="B42:B44"/>
    <mergeCell ref="C42:C44"/>
    <mergeCell ref="B50:B52"/>
    <mergeCell ref="C50:C52"/>
    <mergeCell ref="C35:C36"/>
    <mergeCell ref="P50:P52"/>
    <mergeCell ref="O53:O54"/>
    <mergeCell ref="K53:K54"/>
    <mergeCell ref="I53:I54"/>
    <mergeCell ref="H53:H54"/>
    <mergeCell ref="D53:D54"/>
    <mergeCell ref="G53:G54"/>
    <mergeCell ref="P40:P41"/>
    <mergeCell ref="P23:P24"/>
    <mergeCell ref="C26:C27"/>
    <mergeCell ref="P26:P27"/>
    <mergeCell ref="B22:B24"/>
    <mergeCell ref="B29:B30"/>
    <mergeCell ref="B31:B32"/>
    <mergeCell ref="C31:C32"/>
    <mergeCell ref="B25:B27"/>
    <mergeCell ref="A31:A32"/>
    <mergeCell ref="A22:A24"/>
    <mergeCell ref="C29:C30"/>
    <mergeCell ref="A29:A30"/>
    <mergeCell ref="A25:A27"/>
    <mergeCell ref="C23:C24"/>
    <mergeCell ref="P158:P159"/>
    <mergeCell ref="B76:B78"/>
    <mergeCell ref="C72:C73"/>
    <mergeCell ref="P139:P141"/>
    <mergeCell ref="P163:P164"/>
    <mergeCell ref="P96:P98"/>
    <mergeCell ref="A117:A119"/>
    <mergeCell ref="B117:B119"/>
    <mergeCell ref="C117:C119"/>
    <mergeCell ref="P129:P131"/>
    <mergeCell ref="B124:B128"/>
    <mergeCell ref="B100:B105"/>
    <mergeCell ref="A100:A105"/>
    <mergeCell ref="C122:C123"/>
    <mergeCell ref="A124:A128"/>
    <mergeCell ref="B122:B123"/>
    <mergeCell ref="P148:P150"/>
    <mergeCell ref="P151:P154"/>
    <mergeCell ref="B148:B150"/>
    <mergeCell ref="C148:C150"/>
    <mergeCell ref="A151:A154"/>
    <mergeCell ref="B151:B154"/>
    <mergeCell ref="C151:C154"/>
    <mergeCell ref="A139:A141"/>
    <mergeCell ref="B53:B54"/>
    <mergeCell ref="B139:B141"/>
    <mergeCell ref="B45:B49"/>
    <mergeCell ref="E53:E54"/>
    <mergeCell ref="F53:F54"/>
    <mergeCell ref="A122:A123"/>
    <mergeCell ref="P143:P144"/>
    <mergeCell ref="P146:P147"/>
    <mergeCell ref="C127:C128"/>
    <mergeCell ref="P127:P128"/>
    <mergeCell ref="C137:C138"/>
    <mergeCell ref="P137:P138"/>
    <mergeCell ref="A142:A144"/>
    <mergeCell ref="B142:B144"/>
    <mergeCell ref="C143:C144"/>
    <mergeCell ref="C146:C147"/>
    <mergeCell ref="A136:A138"/>
    <mergeCell ref="B136:B138"/>
    <mergeCell ref="P122:P123"/>
    <mergeCell ref="A129:A132"/>
    <mergeCell ref="P72:P73"/>
    <mergeCell ref="B92:B95"/>
    <mergeCell ref="B81:B85"/>
    <mergeCell ref="B71:B74"/>
    <mergeCell ref="A59:A62"/>
    <mergeCell ref="P79:P80"/>
    <mergeCell ref="A81:A85"/>
    <mergeCell ref="A79:A80"/>
    <mergeCell ref="C93:C94"/>
    <mergeCell ref="P93:P94"/>
    <mergeCell ref="C67:C68"/>
    <mergeCell ref="P67:P68"/>
    <mergeCell ref="P89:P91"/>
    <mergeCell ref="A76:A78"/>
    <mergeCell ref="C60:C62"/>
    <mergeCell ref="P60:P62"/>
    <mergeCell ref="B66:B70"/>
    <mergeCell ref="A66:A70"/>
    <mergeCell ref="B59:B62"/>
    <mergeCell ref="A71:A74"/>
    <mergeCell ref="C81:C84"/>
    <mergeCell ref="P76:P78"/>
    <mergeCell ref="C76:C78"/>
    <mergeCell ref="B79:B80"/>
    <mergeCell ref="A63:A65"/>
    <mergeCell ref="B63:B65"/>
    <mergeCell ref="C63:C65"/>
    <mergeCell ref="P63:P65"/>
    <mergeCell ref="C173:C174"/>
    <mergeCell ref="P173:P174"/>
    <mergeCell ref="C199:C200"/>
    <mergeCell ref="P199:P200"/>
    <mergeCell ref="C196:C197"/>
    <mergeCell ref="C205:C206"/>
    <mergeCell ref="P205:P206"/>
    <mergeCell ref="C225:C226"/>
    <mergeCell ref="P225:P226"/>
    <mergeCell ref="P176:P178"/>
    <mergeCell ref="P201:P203"/>
    <mergeCell ref="C219:C220"/>
    <mergeCell ref="C176:C178"/>
    <mergeCell ref="C201:C203"/>
    <mergeCell ref="P208:P211"/>
    <mergeCell ref="A201:A203"/>
    <mergeCell ref="A204:A206"/>
    <mergeCell ref="B204:B206"/>
    <mergeCell ref="A224:A226"/>
    <mergeCell ref="B224:B226"/>
    <mergeCell ref="B201:B203"/>
    <mergeCell ref="P170:P171"/>
    <mergeCell ref="C170:C171"/>
    <mergeCell ref="P102:P103"/>
    <mergeCell ref="C161:C162"/>
    <mergeCell ref="C158:C159"/>
    <mergeCell ref="A163:A164"/>
    <mergeCell ref="B180:B184"/>
    <mergeCell ref="A180:A184"/>
    <mergeCell ref="B176:B179"/>
    <mergeCell ref="A176:A179"/>
    <mergeCell ref="A172:A175"/>
    <mergeCell ref="B129:B132"/>
    <mergeCell ref="C129:C132"/>
    <mergeCell ref="P161:P162"/>
    <mergeCell ref="B163:B164"/>
    <mergeCell ref="C163:C164"/>
    <mergeCell ref="B172:B175"/>
    <mergeCell ref="C139:C141"/>
  </mergeCells>
  <phoneticPr fontId="0" type="noConversion"/>
  <conditionalFormatting sqref="G156">
    <cfRule type="expression" dxfId="5" priority="7" stopIfTrue="1">
      <formula>HasError()</formula>
    </cfRule>
    <cfRule type="expression" dxfId="4" priority="8" stopIfTrue="1">
      <formula>LockedByCondition()</formula>
    </cfRule>
    <cfRule type="expression" dxfId="3" priority="9" stopIfTrue="1">
      <formula>Locked()</formula>
    </cfRule>
  </conditionalFormatting>
  <conditionalFormatting sqref="G155">
    <cfRule type="expression" dxfId="2" priority="1" stopIfTrue="1">
      <formula>HasError()</formula>
    </cfRule>
    <cfRule type="expression" dxfId="1" priority="2" stopIfTrue="1">
      <formula>LockedByCondition()</formula>
    </cfRule>
    <cfRule type="expression" dxfId="0" priority="3" stopIfTrue="1">
      <formula>Locked()</formula>
    </cfRule>
  </conditionalFormatting>
  <printOptions horizontalCentered="1"/>
  <pageMargins left="0.78740157480314965" right="0.59055118110236227" top="0.70866141732283472" bottom="0.59055118110236227" header="0.15748031496062992" footer="0.19685039370078741"/>
  <pageSetup paperSize="9" scale="51" fitToHeight="0" orientation="landscape" r:id="rId1"/>
  <headerFooter differentFirst="1">
    <oddHeader>&amp;C&amp;18&amp;P</oddHeader>
  </headerFooter>
  <rowBreaks count="1" manualBreakCount="1">
    <brk id="58"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45"/>
  <sheetViews>
    <sheetView view="pageBreakPreview" topLeftCell="A543" zoomScale="70" zoomScaleNormal="85" zoomScaleSheetLayoutView="70" workbookViewId="0">
      <selection activeCell="F725" sqref="F725"/>
    </sheetView>
  </sheetViews>
  <sheetFormatPr defaultRowHeight="18.75" x14ac:dyDescent="0.3"/>
  <cols>
    <col min="1" max="1" width="7.109375" style="38" customWidth="1"/>
    <col min="2" max="2" width="33.44140625" style="28" customWidth="1"/>
    <col min="3" max="3" width="18.33203125" style="29" customWidth="1"/>
    <col min="4" max="4" width="6.5546875" style="30" customWidth="1"/>
    <col min="5" max="5" width="13.88671875" style="31" customWidth="1"/>
    <col min="6" max="6" width="16.109375" style="31" customWidth="1"/>
    <col min="7" max="7" width="15.5546875" style="31" customWidth="1"/>
    <col min="8" max="8" width="13.21875" style="13" customWidth="1"/>
    <col min="9" max="9" width="13.33203125" style="13" customWidth="1"/>
    <col min="10" max="12" width="11.44140625" style="13" customWidth="1"/>
    <col min="13" max="13" width="12.77734375" style="13" customWidth="1"/>
    <col min="14" max="14" width="17.109375" style="13" customWidth="1"/>
    <col min="15" max="15" width="8.88671875" style="13"/>
    <col min="16" max="16" width="10.109375" style="13" bestFit="1" customWidth="1"/>
    <col min="17" max="16384" width="8.88671875" style="13"/>
  </cols>
  <sheetData>
    <row r="1" spans="1:13" ht="331.5" customHeight="1" x14ac:dyDescent="0.3">
      <c r="A1" s="32"/>
      <c r="B1" s="9"/>
      <c r="C1" s="1"/>
      <c r="D1" s="10"/>
      <c r="E1" s="1"/>
      <c r="F1" s="1"/>
      <c r="G1" s="11"/>
      <c r="H1" s="11"/>
      <c r="I1" s="11"/>
      <c r="J1" s="11"/>
      <c r="K1" s="11"/>
      <c r="L1" s="11"/>
      <c r="M1" s="12"/>
    </row>
    <row r="2" spans="1:13" ht="156" customHeight="1" x14ac:dyDescent="0.3">
      <c r="A2" s="32"/>
      <c r="B2" s="9"/>
      <c r="C2" s="1"/>
      <c r="D2" s="10"/>
      <c r="E2" s="1"/>
      <c r="F2" s="1"/>
      <c r="G2" s="11"/>
      <c r="H2" s="11"/>
      <c r="I2" s="11"/>
      <c r="J2" s="11"/>
      <c r="K2" s="11"/>
      <c r="L2" s="11"/>
      <c r="M2" s="12"/>
    </row>
    <row r="3" spans="1:13" ht="43.5" customHeight="1" x14ac:dyDescent="0.4">
      <c r="A3" s="622" t="s">
        <v>90</v>
      </c>
      <c r="B3" s="622"/>
      <c r="C3" s="622"/>
      <c r="D3" s="622"/>
      <c r="E3" s="622"/>
      <c r="F3" s="622"/>
      <c r="G3" s="622"/>
      <c r="H3" s="622"/>
      <c r="I3" s="622"/>
      <c r="J3" s="622"/>
      <c r="K3" s="622"/>
      <c r="L3" s="622"/>
      <c r="M3" s="622"/>
    </row>
    <row r="4" spans="1:13" s="14" customFormat="1" ht="173.25" customHeight="1" x14ac:dyDescent="0.3">
      <c r="A4" s="623" t="s">
        <v>318</v>
      </c>
      <c r="B4" s="623"/>
      <c r="C4" s="623"/>
      <c r="D4" s="623"/>
      <c r="E4" s="623"/>
      <c r="F4" s="623"/>
      <c r="G4" s="623"/>
      <c r="H4" s="623"/>
      <c r="I4" s="623"/>
      <c r="J4" s="623"/>
      <c r="K4" s="623"/>
      <c r="L4" s="623"/>
      <c r="M4" s="623"/>
    </row>
    <row r="5" spans="1:13" ht="12" customHeight="1" x14ac:dyDescent="0.3">
      <c r="A5" s="33"/>
      <c r="B5" s="15"/>
      <c r="C5" s="3"/>
      <c r="D5" s="16"/>
      <c r="E5" s="4"/>
      <c r="F5" s="4"/>
      <c r="G5" s="4"/>
      <c r="H5" s="4"/>
      <c r="I5" s="4"/>
      <c r="J5" s="4"/>
      <c r="K5" s="4"/>
      <c r="L5" s="4"/>
    </row>
    <row r="6" spans="1:13" s="56" customFormat="1" ht="24.95" customHeight="1" x14ac:dyDescent="0.25">
      <c r="A6" s="39"/>
      <c r="B6" s="561" t="s">
        <v>312</v>
      </c>
      <c r="C6" s="561" t="s">
        <v>91</v>
      </c>
      <c r="D6" s="561" t="s">
        <v>11</v>
      </c>
      <c r="E6" s="555" t="s">
        <v>92</v>
      </c>
      <c r="F6" s="555"/>
      <c r="G6" s="555"/>
      <c r="H6" s="555"/>
      <c r="I6" s="555"/>
      <c r="J6" s="555"/>
      <c r="K6" s="555"/>
      <c r="L6" s="555"/>
      <c r="M6" s="555"/>
    </row>
    <row r="7" spans="1:13" s="56" customFormat="1" ht="24.95" customHeight="1" x14ac:dyDescent="0.25">
      <c r="A7" s="55" t="s">
        <v>4</v>
      </c>
      <c r="B7" s="556"/>
      <c r="C7" s="556"/>
      <c r="D7" s="556"/>
      <c r="E7" s="555"/>
      <c r="F7" s="555"/>
      <c r="G7" s="555"/>
      <c r="H7" s="555"/>
      <c r="I7" s="555"/>
      <c r="J7" s="555"/>
      <c r="K7" s="555"/>
      <c r="L7" s="555"/>
      <c r="M7" s="555"/>
    </row>
    <row r="8" spans="1:13" s="56" customFormat="1" ht="24.95" customHeight="1" x14ac:dyDescent="0.25">
      <c r="A8" s="40" t="s">
        <v>5</v>
      </c>
      <c r="B8" s="556"/>
      <c r="C8" s="556"/>
      <c r="D8" s="556"/>
      <c r="E8" s="620">
        <v>2013</v>
      </c>
      <c r="F8" s="620">
        <v>2014</v>
      </c>
      <c r="G8" s="620">
        <v>2015</v>
      </c>
      <c r="H8" s="624">
        <v>2016</v>
      </c>
      <c r="I8" s="625">
        <v>2017</v>
      </c>
      <c r="J8" s="624">
        <v>2018</v>
      </c>
      <c r="K8" s="625">
        <v>2019</v>
      </c>
      <c r="L8" s="624">
        <v>2020</v>
      </c>
      <c r="M8" s="624" t="s">
        <v>315</v>
      </c>
    </row>
    <row r="9" spans="1:13" s="56" customFormat="1" ht="42.75" customHeight="1" x14ac:dyDescent="0.25">
      <c r="A9" s="41"/>
      <c r="B9" s="557"/>
      <c r="C9" s="557"/>
      <c r="D9" s="557"/>
      <c r="E9" s="621"/>
      <c r="F9" s="621"/>
      <c r="G9" s="621"/>
      <c r="H9" s="624"/>
      <c r="I9" s="625"/>
      <c r="J9" s="624"/>
      <c r="K9" s="625"/>
      <c r="L9" s="624"/>
      <c r="M9" s="624"/>
    </row>
    <row r="10" spans="1:13" s="56" customFormat="1" ht="16.5" x14ac:dyDescent="0.25">
      <c r="A10" s="43">
        <v>1</v>
      </c>
      <c r="B10" s="57">
        <v>2</v>
      </c>
      <c r="C10" s="57">
        <v>3</v>
      </c>
      <c r="D10" s="57">
        <v>4</v>
      </c>
      <c r="E10" s="43">
        <v>5</v>
      </c>
      <c r="F10" s="43">
        <v>6</v>
      </c>
      <c r="G10" s="43">
        <v>7</v>
      </c>
      <c r="H10" s="43">
        <v>8</v>
      </c>
      <c r="I10" s="43">
        <v>9</v>
      </c>
      <c r="J10" s="43">
        <v>10</v>
      </c>
      <c r="K10" s="43">
        <v>11</v>
      </c>
      <c r="L10" s="43">
        <v>12</v>
      </c>
      <c r="M10" s="69">
        <v>13</v>
      </c>
    </row>
    <row r="11" spans="1:13" ht="27.95" customHeight="1" x14ac:dyDescent="0.3">
      <c r="A11" s="616" t="s">
        <v>351</v>
      </c>
      <c r="B11" s="617"/>
      <c r="C11" s="54" t="s">
        <v>27</v>
      </c>
      <c r="D11" s="101"/>
      <c r="E11" s="72">
        <f t="shared" ref="E11:L11" si="0">E12+E13+E14+E15+E16+E17</f>
        <v>950596.01</v>
      </c>
      <c r="F11" s="72">
        <f t="shared" si="0"/>
        <v>925124.47</v>
      </c>
      <c r="G11" s="72">
        <f t="shared" si="0"/>
        <v>1109191.58</v>
      </c>
      <c r="H11" s="72">
        <f t="shared" si="0"/>
        <v>1180225.1499999999</v>
      </c>
      <c r="I11" s="72">
        <f>I12+I13+I14+I15+I16+I17</f>
        <v>1344491.46</v>
      </c>
      <c r="J11" s="72">
        <f t="shared" si="0"/>
        <v>784213.85</v>
      </c>
      <c r="K11" s="72">
        <f t="shared" si="0"/>
        <v>789633.85</v>
      </c>
      <c r="L11" s="72">
        <f t="shared" si="0"/>
        <v>789633.85</v>
      </c>
      <c r="M11" s="85">
        <f>SUM(E11:L11)</f>
        <v>7873110.2199999997</v>
      </c>
    </row>
    <row r="12" spans="1:13" ht="42" customHeight="1" x14ac:dyDescent="0.3">
      <c r="A12" s="618"/>
      <c r="B12" s="619"/>
      <c r="C12" s="60" t="s">
        <v>93</v>
      </c>
      <c r="D12" s="102"/>
      <c r="E12" s="70">
        <f t="shared" ref="E12:L17" si="1">E19+E145+E222+E320+E390+E481</f>
        <v>0</v>
      </c>
      <c r="F12" s="70">
        <f t="shared" si="1"/>
        <v>62420.58</v>
      </c>
      <c r="G12" s="70">
        <f t="shared" si="1"/>
        <v>72474.600000000006</v>
      </c>
      <c r="H12" s="70">
        <f t="shared" si="1"/>
        <v>0</v>
      </c>
      <c r="I12" s="70">
        <f t="shared" si="1"/>
        <v>0</v>
      </c>
      <c r="J12" s="70">
        <f t="shared" si="1"/>
        <v>0</v>
      </c>
      <c r="K12" s="70">
        <f t="shared" si="1"/>
        <v>0</v>
      </c>
      <c r="L12" s="70">
        <f t="shared" si="1"/>
        <v>0</v>
      </c>
      <c r="M12" s="71">
        <f>SUM(E12:L12)</f>
        <v>134895.18</v>
      </c>
    </row>
    <row r="13" spans="1:13" ht="27.95" customHeight="1" x14ac:dyDescent="0.3">
      <c r="A13" s="618"/>
      <c r="B13" s="619"/>
      <c r="C13" s="60" t="s">
        <v>94</v>
      </c>
      <c r="D13" s="102"/>
      <c r="E13" s="70">
        <f t="shared" si="1"/>
        <v>911665.01</v>
      </c>
      <c r="F13" s="70">
        <f t="shared" si="1"/>
        <v>766787.03</v>
      </c>
      <c r="G13" s="70">
        <f t="shared" si="1"/>
        <v>882516.69</v>
      </c>
      <c r="H13" s="70">
        <f t="shared" si="1"/>
        <v>912361.6</v>
      </c>
      <c r="I13" s="70">
        <f t="shared" si="1"/>
        <v>1095997.1599999999</v>
      </c>
      <c r="J13" s="70">
        <f t="shared" si="1"/>
        <v>684213.85</v>
      </c>
      <c r="K13" s="70">
        <f t="shared" si="1"/>
        <v>689633.85</v>
      </c>
      <c r="L13" s="70">
        <f t="shared" si="1"/>
        <v>689633.85</v>
      </c>
      <c r="M13" s="71">
        <f>SUM(E13:L13)</f>
        <v>6632809.04</v>
      </c>
    </row>
    <row r="14" spans="1:13" s="17" customFormat="1" ht="57" customHeight="1" x14ac:dyDescent="0.3">
      <c r="A14" s="618"/>
      <c r="B14" s="619"/>
      <c r="C14" s="59" t="s">
        <v>95</v>
      </c>
      <c r="D14" s="103"/>
      <c r="E14" s="70">
        <f t="shared" si="1"/>
        <v>38931</v>
      </c>
      <c r="F14" s="70">
        <f t="shared" si="1"/>
        <v>95916.86</v>
      </c>
      <c r="G14" s="70">
        <f t="shared" si="1"/>
        <v>154200.29</v>
      </c>
      <c r="H14" s="70">
        <f t="shared" si="1"/>
        <v>252823.8</v>
      </c>
      <c r="I14" s="70">
        <f t="shared" si="1"/>
        <v>245454.55</v>
      </c>
      <c r="J14" s="70">
        <f t="shared" si="1"/>
        <v>100000</v>
      </c>
      <c r="K14" s="70">
        <f t="shared" si="1"/>
        <v>100000</v>
      </c>
      <c r="L14" s="70">
        <f t="shared" si="1"/>
        <v>100000</v>
      </c>
      <c r="M14" s="71">
        <f>SUM(E14:L14)</f>
        <v>1087326.5</v>
      </c>
    </row>
    <row r="15" spans="1:13" ht="83.1" customHeight="1" x14ac:dyDescent="0.3">
      <c r="A15" s="618"/>
      <c r="B15" s="619"/>
      <c r="C15" s="68" t="s">
        <v>96</v>
      </c>
      <c r="D15" s="102"/>
      <c r="E15" s="70">
        <f t="shared" si="1"/>
        <v>0</v>
      </c>
      <c r="F15" s="70">
        <f t="shared" si="1"/>
        <v>0</v>
      </c>
      <c r="G15" s="70">
        <f t="shared" si="1"/>
        <v>0</v>
      </c>
      <c r="H15" s="70">
        <f t="shared" si="1"/>
        <v>0</v>
      </c>
      <c r="I15" s="70">
        <f t="shared" si="1"/>
        <v>0</v>
      </c>
      <c r="J15" s="70">
        <f t="shared" si="1"/>
        <v>0</v>
      </c>
      <c r="K15" s="70">
        <f t="shared" si="1"/>
        <v>0</v>
      </c>
      <c r="L15" s="70">
        <f t="shared" si="1"/>
        <v>0</v>
      </c>
      <c r="M15" s="71">
        <v>0</v>
      </c>
    </row>
    <row r="16" spans="1:13" ht="83.1" customHeight="1" x14ac:dyDescent="0.3">
      <c r="A16" s="618"/>
      <c r="B16" s="619"/>
      <c r="C16" s="68" t="s">
        <v>97</v>
      </c>
      <c r="D16" s="102"/>
      <c r="E16" s="70">
        <f t="shared" si="1"/>
        <v>0</v>
      </c>
      <c r="F16" s="70">
        <f t="shared" si="1"/>
        <v>0</v>
      </c>
      <c r="G16" s="70">
        <f t="shared" si="1"/>
        <v>0</v>
      </c>
      <c r="H16" s="70">
        <f t="shared" si="1"/>
        <v>0</v>
      </c>
      <c r="I16" s="70">
        <f t="shared" si="1"/>
        <v>0</v>
      </c>
      <c r="J16" s="70">
        <f t="shared" si="1"/>
        <v>0</v>
      </c>
      <c r="K16" s="70">
        <f t="shared" si="1"/>
        <v>0</v>
      </c>
      <c r="L16" s="70">
        <f t="shared" si="1"/>
        <v>0</v>
      </c>
      <c r="M16" s="71">
        <v>0</v>
      </c>
    </row>
    <row r="17" spans="1:14" ht="57" customHeight="1" x14ac:dyDescent="0.3">
      <c r="A17" s="618"/>
      <c r="B17" s="619"/>
      <c r="C17" s="68" t="s">
        <v>98</v>
      </c>
      <c r="D17" s="102"/>
      <c r="E17" s="70">
        <f t="shared" si="1"/>
        <v>0</v>
      </c>
      <c r="F17" s="70">
        <f t="shared" si="1"/>
        <v>0</v>
      </c>
      <c r="G17" s="70">
        <f t="shared" si="1"/>
        <v>0</v>
      </c>
      <c r="H17" s="70">
        <f t="shared" si="1"/>
        <v>15039.75</v>
      </c>
      <c r="I17" s="70">
        <f t="shared" si="1"/>
        <v>3039.75</v>
      </c>
      <c r="J17" s="70">
        <f t="shared" si="1"/>
        <v>0</v>
      </c>
      <c r="K17" s="70">
        <f t="shared" si="1"/>
        <v>0</v>
      </c>
      <c r="L17" s="70">
        <f t="shared" si="1"/>
        <v>0</v>
      </c>
      <c r="M17" s="71">
        <f>SUM(E17:L17)</f>
        <v>18079.5</v>
      </c>
    </row>
    <row r="18" spans="1:14" ht="27.95" customHeight="1" x14ac:dyDescent="0.3">
      <c r="A18" s="562" t="s">
        <v>23</v>
      </c>
      <c r="B18" s="606" t="s">
        <v>310</v>
      </c>
      <c r="C18" s="58" t="s">
        <v>27</v>
      </c>
      <c r="D18" s="104"/>
      <c r="E18" s="72">
        <f t="shared" ref="E18:L18" si="2">SUM(E19:E24)</f>
        <v>245694.76</v>
      </c>
      <c r="F18" s="72">
        <f t="shared" si="2"/>
        <v>318249.74</v>
      </c>
      <c r="G18" s="72">
        <f t="shared" si="2"/>
        <v>537596.14</v>
      </c>
      <c r="H18" s="73">
        <f>SUM(H19:H24)</f>
        <v>588771.94999999995</v>
      </c>
      <c r="I18" s="74">
        <f t="shared" si="2"/>
        <v>624166.49</v>
      </c>
      <c r="J18" s="72">
        <f t="shared" si="2"/>
        <v>258509.84</v>
      </c>
      <c r="K18" s="72">
        <f t="shared" si="2"/>
        <v>258509.84</v>
      </c>
      <c r="L18" s="72">
        <f t="shared" si="2"/>
        <v>258509.84</v>
      </c>
      <c r="M18" s="73">
        <f>SUM(E18:L18)</f>
        <v>3090008.6</v>
      </c>
    </row>
    <row r="19" spans="1:14" ht="42" customHeight="1" x14ac:dyDescent="0.3">
      <c r="A19" s="563"/>
      <c r="B19" s="607"/>
      <c r="C19" s="67" t="s">
        <v>93</v>
      </c>
      <c r="D19" s="105"/>
      <c r="E19" s="75">
        <f t="shared" ref="E19:L19" si="3">E26+E75+E131</f>
        <v>0</v>
      </c>
      <c r="F19" s="75">
        <f t="shared" si="3"/>
        <v>62420.58</v>
      </c>
      <c r="G19" s="75">
        <f t="shared" si="3"/>
        <v>37274.6</v>
      </c>
      <c r="H19" s="75">
        <f t="shared" si="3"/>
        <v>0</v>
      </c>
      <c r="I19" s="75">
        <f t="shared" si="3"/>
        <v>0</v>
      </c>
      <c r="J19" s="75">
        <f t="shared" si="3"/>
        <v>0</v>
      </c>
      <c r="K19" s="75">
        <f t="shared" si="3"/>
        <v>0</v>
      </c>
      <c r="L19" s="75">
        <f t="shared" si="3"/>
        <v>0</v>
      </c>
      <c r="M19" s="76">
        <f>SUM(E19:L19)</f>
        <v>99695.18</v>
      </c>
    </row>
    <row r="20" spans="1:14" ht="27.95" customHeight="1" x14ac:dyDescent="0.3">
      <c r="A20" s="563"/>
      <c r="B20" s="607"/>
      <c r="C20" s="67" t="s">
        <v>94</v>
      </c>
      <c r="D20" s="105"/>
      <c r="E20" s="75">
        <f>'Приложение 5'!H22</f>
        <v>245694.76</v>
      </c>
      <c r="F20" s="77">
        <f>'Приложение 5'!I22</f>
        <v>205626.3</v>
      </c>
      <c r="G20" s="78">
        <f>'Приложение 5'!J22</f>
        <v>350235.25</v>
      </c>
      <c r="H20" s="79">
        <f>'Приложение 5'!K22</f>
        <v>335948.15</v>
      </c>
      <c r="I20" s="80">
        <f>'Приложение 5'!L22</f>
        <v>378711.94</v>
      </c>
      <c r="J20" s="75">
        <f>'Приложение 5'!M22</f>
        <v>158509.84</v>
      </c>
      <c r="K20" s="77">
        <f>'Приложение 5'!N22</f>
        <v>158509.84</v>
      </c>
      <c r="L20" s="77">
        <f>'Приложение 5'!O22</f>
        <v>158509.84</v>
      </c>
      <c r="M20" s="76">
        <f>SUM(E20:L20)</f>
        <v>1991745.92</v>
      </c>
      <c r="N20" s="118"/>
    </row>
    <row r="21" spans="1:14" ht="57" customHeight="1" x14ac:dyDescent="0.3">
      <c r="A21" s="563"/>
      <c r="B21" s="607"/>
      <c r="C21" s="67" t="s">
        <v>95</v>
      </c>
      <c r="D21" s="105"/>
      <c r="E21" s="75">
        <f t="shared" ref="E21:L21" si="4">E28+E77+E133</f>
        <v>0</v>
      </c>
      <c r="F21" s="75">
        <f t="shared" si="4"/>
        <v>50202.86</v>
      </c>
      <c r="G21" s="75">
        <f t="shared" si="4"/>
        <v>150086.29</v>
      </c>
      <c r="H21" s="75">
        <f>H28+H77+H133</f>
        <v>252823.8</v>
      </c>
      <c r="I21" s="75">
        <f t="shared" si="4"/>
        <v>245454.55</v>
      </c>
      <c r="J21" s="75">
        <f t="shared" si="4"/>
        <v>100000</v>
      </c>
      <c r="K21" s="75">
        <f t="shared" si="4"/>
        <v>100000</v>
      </c>
      <c r="L21" s="75">
        <f t="shared" si="4"/>
        <v>100000</v>
      </c>
      <c r="M21" s="76">
        <f>SUM(E21:L21)</f>
        <v>998567.5</v>
      </c>
    </row>
    <row r="22" spans="1:14" ht="83.1" customHeight="1" x14ac:dyDescent="0.3">
      <c r="A22" s="563"/>
      <c r="B22" s="607"/>
      <c r="C22" s="67" t="s">
        <v>96</v>
      </c>
      <c r="D22" s="105"/>
      <c r="E22" s="70">
        <v>0</v>
      </c>
      <c r="F22" s="70">
        <v>0</v>
      </c>
      <c r="G22" s="70">
        <v>0</v>
      </c>
      <c r="H22" s="70">
        <v>0</v>
      </c>
      <c r="I22" s="70">
        <v>0</v>
      </c>
      <c r="J22" s="70">
        <v>0</v>
      </c>
      <c r="K22" s="70">
        <v>0</v>
      </c>
      <c r="L22" s="70">
        <v>0</v>
      </c>
      <c r="M22" s="71">
        <v>0</v>
      </c>
    </row>
    <row r="23" spans="1:14" ht="83.1" customHeight="1" x14ac:dyDescent="0.3">
      <c r="A23" s="563"/>
      <c r="B23" s="607"/>
      <c r="C23" s="67" t="s">
        <v>97</v>
      </c>
      <c r="D23" s="105"/>
      <c r="E23" s="70">
        <v>0</v>
      </c>
      <c r="F23" s="70">
        <v>0</v>
      </c>
      <c r="G23" s="70">
        <v>0</v>
      </c>
      <c r="H23" s="81">
        <v>0</v>
      </c>
      <c r="I23" s="82">
        <v>0</v>
      </c>
      <c r="J23" s="70">
        <v>0</v>
      </c>
      <c r="K23" s="70">
        <v>0</v>
      </c>
      <c r="L23" s="70">
        <v>0</v>
      </c>
      <c r="M23" s="81">
        <v>0</v>
      </c>
    </row>
    <row r="24" spans="1:14" ht="57" customHeight="1" x14ac:dyDescent="0.3">
      <c r="A24" s="563"/>
      <c r="B24" s="607"/>
      <c r="C24" s="67" t="s">
        <v>98</v>
      </c>
      <c r="D24" s="105"/>
      <c r="E24" s="70">
        <v>0</v>
      </c>
      <c r="F24" s="70">
        <v>0</v>
      </c>
      <c r="G24" s="70">
        <v>0</v>
      </c>
      <c r="H24" s="70">
        <v>0</v>
      </c>
      <c r="I24" s="70">
        <v>0</v>
      </c>
      <c r="J24" s="70">
        <v>0</v>
      </c>
      <c r="K24" s="70">
        <v>0</v>
      </c>
      <c r="L24" s="70">
        <v>0</v>
      </c>
      <c r="M24" s="71">
        <v>0</v>
      </c>
    </row>
    <row r="25" spans="1:14" ht="30.75" customHeight="1" x14ac:dyDescent="0.3">
      <c r="A25" s="562" t="s">
        <v>122</v>
      </c>
      <c r="B25" s="558" t="s">
        <v>385</v>
      </c>
      <c r="C25" s="58" t="s">
        <v>27</v>
      </c>
      <c r="D25" s="106"/>
      <c r="E25" s="72">
        <f>SUM(E26:E31)</f>
        <v>83851</v>
      </c>
      <c r="F25" s="72">
        <f t="shared" ref="F25:L25" si="5">SUM(F26:F31)</f>
        <v>41190</v>
      </c>
      <c r="G25" s="72">
        <f t="shared" si="5"/>
        <v>250.42</v>
      </c>
      <c r="H25" s="72">
        <f t="shared" si="5"/>
        <v>0</v>
      </c>
      <c r="I25" s="72">
        <f t="shared" si="5"/>
        <v>0</v>
      </c>
      <c r="J25" s="72">
        <f t="shared" si="5"/>
        <v>0</v>
      </c>
      <c r="K25" s="72">
        <f t="shared" si="5"/>
        <v>0</v>
      </c>
      <c r="L25" s="72">
        <f t="shared" si="5"/>
        <v>0</v>
      </c>
      <c r="M25" s="83">
        <f>SUM(E25:L25)</f>
        <v>125291.42</v>
      </c>
    </row>
    <row r="26" spans="1:14" ht="46.5" customHeight="1" x14ac:dyDescent="0.3">
      <c r="A26" s="563"/>
      <c r="B26" s="559"/>
      <c r="C26" s="67" t="s">
        <v>93</v>
      </c>
      <c r="D26" s="107"/>
      <c r="E26" s="70">
        <f>E33+E61+E68</f>
        <v>0</v>
      </c>
      <c r="F26" s="70">
        <f t="shared" ref="F26:L26" si="6">F33+F61+F68</f>
        <v>13200</v>
      </c>
      <c r="G26" s="70">
        <f t="shared" si="6"/>
        <v>0</v>
      </c>
      <c r="H26" s="70">
        <f t="shared" si="6"/>
        <v>0</v>
      </c>
      <c r="I26" s="70">
        <f t="shared" si="6"/>
        <v>0</v>
      </c>
      <c r="J26" s="70">
        <f t="shared" si="6"/>
        <v>0</v>
      </c>
      <c r="K26" s="70">
        <f t="shared" si="6"/>
        <v>0</v>
      </c>
      <c r="L26" s="70">
        <f t="shared" si="6"/>
        <v>0</v>
      </c>
      <c r="M26" s="71">
        <f>SUM(E26:L26)</f>
        <v>13200</v>
      </c>
    </row>
    <row r="27" spans="1:14" ht="27.95" customHeight="1" x14ac:dyDescent="0.3">
      <c r="A27" s="563"/>
      <c r="B27" s="559"/>
      <c r="C27" s="67" t="s">
        <v>94</v>
      </c>
      <c r="D27" s="107"/>
      <c r="E27" s="70">
        <f>'Приложение 5'!H26</f>
        <v>83851</v>
      </c>
      <c r="F27" s="70">
        <f>'Приложение 5'!I26</f>
        <v>27990</v>
      </c>
      <c r="G27" s="70">
        <f>'Приложение 5'!J26</f>
        <v>250.42</v>
      </c>
      <c r="H27" s="81">
        <f>'Приложение 5'!K25</f>
        <v>0</v>
      </c>
      <c r="I27" s="82">
        <f>'Приложение 5'!L25</f>
        <v>0</v>
      </c>
      <c r="J27" s="70">
        <f>'Приложение 5'!M25</f>
        <v>0</v>
      </c>
      <c r="K27" s="70">
        <f>'Приложение 5'!N25</f>
        <v>0</v>
      </c>
      <c r="L27" s="70">
        <f>'Приложение 5'!O25</f>
        <v>0</v>
      </c>
      <c r="M27" s="81">
        <f>SUM(E27:L27)</f>
        <v>112091.42</v>
      </c>
    </row>
    <row r="28" spans="1:14" ht="62.25" customHeight="1" x14ac:dyDescent="0.3">
      <c r="A28" s="563"/>
      <c r="B28" s="559"/>
      <c r="C28" s="67" t="s">
        <v>95</v>
      </c>
      <c r="D28" s="107"/>
      <c r="E28" s="70">
        <v>0</v>
      </c>
      <c r="F28" s="70">
        <v>0</v>
      </c>
      <c r="G28" s="70">
        <v>0</v>
      </c>
      <c r="H28" s="70">
        <v>0</v>
      </c>
      <c r="I28" s="70">
        <v>0</v>
      </c>
      <c r="J28" s="70">
        <v>0</v>
      </c>
      <c r="K28" s="70">
        <v>0</v>
      </c>
      <c r="L28" s="70">
        <v>0</v>
      </c>
      <c r="M28" s="71">
        <v>0</v>
      </c>
    </row>
    <row r="29" spans="1:14" ht="83.1" customHeight="1" x14ac:dyDescent="0.3">
      <c r="A29" s="563"/>
      <c r="B29" s="559"/>
      <c r="C29" s="67" t="s">
        <v>96</v>
      </c>
      <c r="D29" s="107"/>
      <c r="E29" s="70">
        <v>0</v>
      </c>
      <c r="F29" s="70">
        <v>0</v>
      </c>
      <c r="G29" s="70">
        <v>0</v>
      </c>
      <c r="H29" s="70">
        <v>0</v>
      </c>
      <c r="I29" s="70">
        <v>0</v>
      </c>
      <c r="J29" s="70">
        <v>0</v>
      </c>
      <c r="K29" s="70">
        <v>0</v>
      </c>
      <c r="L29" s="70">
        <v>0</v>
      </c>
      <c r="M29" s="71">
        <v>0</v>
      </c>
    </row>
    <row r="30" spans="1:14" ht="83.1" customHeight="1" x14ac:dyDescent="0.3">
      <c r="A30" s="563"/>
      <c r="B30" s="559"/>
      <c r="C30" s="67" t="s">
        <v>97</v>
      </c>
      <c r="D30" s="107"/>
      <c r="E30" s="70">
        <v>0</v>
      </c>
      <c r="F30" s="70">
        <v>0</v>
      </c>
      <c r="G30" s="70">
        <v>0</v>
      </c>
      <c r="H30" s="70">
        <v>0</v>
      </c>
      <c r="I30" s="70">
        <v>0</v>
      </c>
      <c r="J30" s="70">
        <v>0</v>
      </c>
      <c r="K30" s="70">
        <v>0</v>
      </c>
      <c r="L30" s="70">
        <v>0</v>
      </c>
      <c r="M30" s="71">
        <v>0</v>
      </c>
    </row>
    <row r="31" spans="1:14" ht="57" customHeight="1" x14ac:dyDescent="0.3">
      <c r="A31" s="564"/>
      <c r="B31" s="560"/>
      <c r="C31" s="67" t="s">
        <v>98</v>
      </c>
      <c r="D31" s="107"/>
      <c r="E31" s="70">
        <v>0</v>
      </c>
      <c r="F31" s="70">
        <v>0</v>
      </c>
      <c r="G31" s="70">
        <v>0</v>
      </c>
      <c r="H31" s="70">
        <v>0</v>
      </c>
      <c r="I31" s="70">
        <v>0</v>
      </c>
      <c r="J31" s="70">
        <v>0</v>
      </c>
      <c r="K31" s="70">
        <v>0</v>
      </c>
      <c r="L31" s="70">
        <v>0</v>
      </c>
      <c r="M31" s="71">
        <v>0</v>
      </c>
    </row>
    <row r="32" spans="1:14" ht="27.95" customHeight="1" x14ac:dyDescent="0.3">
      <c r="A32" s="562" t="s">
        <v>191</v>
      </c>
      <c r="B32" s="558" t="s">
        <v>192</v>
      </c>
      <c r="C32" s="58" t="s">
        <v>27</v>
      </c>
      <c r="D32" s="106"/>
      <c r="E32" s="72">
        <f>SUM(E33:E38)</f>
        <v>80851</v>
      </c>
      <c r="F32" s="72">
        <f t="shared" ref="F32:L32" si="7">SUM(F33:F38)</f>
        <v>32600</v>
      </c>
      <c r="G32" s="72">
        <f t="shared" si="7"/>
        <v>0</v>
      </c>
      <c r="H32" s="72">
        <f t="shared" si="7"/>
        <v>0</v>
      </c>
      <c r="I32" s="72">
        <f t="shared" si="7"/>
        <v>0</v>
      </c>
      <c r="J32" s="72">
        <f t="shared" si="7"/>
        <v>0</v>
      </c>
      <c r="K32" s="72">
        <f t="shared" si="7"/>
        <v>0</v>
      </c>
      <c r="L32" s="72">
        <f t="shared" si="7"/>
        <v>0</v>
      </c>
      <c r="M32" s="83">
        <f>SUM(E32:L32)</f>
        <v>113451</v>
      </c>
    </row>
    <row r="33" spans="1:13" ht="42" customHeight="1" x14ac:dyDescent="0.3">
      <c r="A33" s="563"/>
      <c r="B33" s="559"/>
      <c r="C33" s="67" t="s">
        <v>93</v>
      </c>
      <c r="D33" s="107"/>
      <c r="E33" s="70">
        <f>E40+E47+E54</f>
        <v>0</v>
      </c>
      <c r="F33" s="70">
        <f t="shared" ref="F33:L33" si="8">F40+F47+F54</f>
        <v>13200</v>
      </c>
      <c r="G33" s="70">
        <f t="shared" si="8"/>
        <v>0</v>
      </c>
      <c r="H33" s="70">
        <f t="shared" si="8"/>
        <v>0</v>
      </c>
      <c r="I33" s="70">
        <f t="shared" si="8"/>
        <v>0</v>
      </c>
      <c r="J33" s="70">
        <f t="shared" si="8"/>
        <v>0</v>
      </c>
      <c r="K33" s="70">
        <f t="shared" si="8"/>
        <v>0</v>
      </c>
      <c r="L33" s="70">
        <f t="shared" si="8"/>
        <v>0</v>
      </c>
      <c r="M33" s="71">
        <f>SUM(E33:L33)</f>
        <v>13200</v>
      </c>
    </row>
    <row r="34" spans="1:13" ht="27.95" customHeight="1" x14ac:dyDescent="0.3">
      <c r="A34" s="563"/>
      <c r="B34" s="559"/>
      <c r="C34" s="67" t="s">
        <v>94</v>
      </c>
      <c r="D34" s="107"/>
      <c r="E34" s="70">
        <f>'Приложение 5'!H28</f>
        <v>80851</v>
      </c>
      <c r="F34" s="70">
        <f>'Приложение 5'!I28</f>
        <v>19400</v>
      </c>
      <c r="G34" s="70">
        <f>'Приложение 5'!J28</f>
        <v>0</v>
      </c>
      <c r="H34" s="81">
        <f>'Приложение 5'!K28</f>
        <v>0</v>
      </c>
      <c r="I34" s="82">
        <f>'Приложение 5'!L28</f>
        <v>0</v>
      </c>
      <c r="J34" s="70">
        <f>'Приложение 5'!M28</f>
        <v>0</v>
      </c>
      <c r="K34" s="70">
        <f>'Приложение 5'!N28</f>
        <v>0</v>
      </c>
      <c r="L34" s="70">
        <f>'Приложение 5'!O28</f>
        <v>0</v>
      </c>
      <c r="M34" s="81">
        <f>SUM(E34:L34)</f>
        <v>100251</v>
      </c>
    </row>
    <row r="35" spans="1:13" ht="57" customHeight="1" x14ac:dyDescent="0.3">
      <c r="A35" s="563"/>
      <c r="B35" s="559"/>
      <c r="C35" s="67" t="s">
        <v>95</v>
      </c>
      <c r="D35" s="107"/>
      <c r="E35" s="70">
        <v>0</v>
      </c>
      <c r="F35" s="70">
        <v>0</v>
      </c>
      <c r="G35" s="71">
        <v>0</v>
      </c>
      <c r="H35" s="71">
        <v>0</v>
      </c>
      <c r="I35" s="70">
        <v>0</v>
      </c>
      <c r="J35" s="71">
        <v>0</v>
      </c>
      <c r="K35" s="70">
        <v>0</v>
      </c>
      <c r="L35" s="71">
        <v>0</v>
      </c>
      <c r="M35" s="71">
        <f>SUM(E35:I35)</f>
        <v>0</v>
      </c>
    </row>
    <row r="36" spans="1:13" ht="83.1" customHeight="1" x14ac:dyDescent="0.3">
      <c r="A36" s="563"/>
      <c r="B36" s="559"/>
      <c r="C36" s="67" t="s">
        <v>96</v>
      </c>
      <c r="D36" s="107"/>
      <c r="E36" s="84">
        <v>0</v>
      </c>
      <c r="F36" s="84">
        <v>0</v>
      </c>
      <c r="G36" s="84">
        <v>0</v>
      </c>
      <c r="H36" s="78">
        <v>0</v>
      </c>
      <c r="I36" s="84">
        <v>0</v>
      </c>
      <c r="J36" s="78">
        <v>0</v>
      </c>
      <c r="K36" s="84">
        <v>0</v>
      </c>
      <c r="L36" s="78">
        <v>0</v>
      </c>
      <c r="M36" s="71">
        <v>0</v>
      </c>
    </row>
    <row r="37" spans="1:13" ht="83.1" customHeight="1" x14ac:dyDescent="0.3">
      <c r="A37" s="563"/>
      <c r="B37" s="559"/>
      <c r="C37" s="67" t="s">
        <v>97</v>
      </c>
      <c r="D37" s="107"/>
      <c r="E37" s="84">
        <v>0</v>
      </c>
      <c r="F37" s="84">
        <v>0</v>
      </c>
      <c r="G37" s="84">
        <v>0</v>
      </c>
      <c r="H37" s="71">
        <v>0</v>
      </c>
      <c r="I37" s="70">
        <v>0</v>
      </c>
      <c r="J37" s="71">
        <v>0</v>
      </c>
      <c r="K37" s="70">
        <v>0</v>
      </c>
      <c r="L37" s="71">
        <v>0</v>
      </c>
      <c r="M37" s="71">
        <v>0</v>
      </c>
    </row>
    <row r="38" spans="1:13" ht="57" customHeight="1" x14ac:dyDescent="0.3">
      <c r="A38" s="564"/>
      <c r="B38" s="560"/>
      <c r="C38" s="67" t="s">
        <v>98</v>
      </c>
      <c r="D38" s="107"/>
      <c r="E38" s="84">
        <v>0</v>
      </c>
      <c r="F38" s="84">
        <v>0</v>
      </c>
      <c r="G38" s="84">
        <v>0</v>
      </c>
      <c r="H38" s="71">
        <v>0</v>
      </c>
      <c r="I38" s="70">
        <v>0</v>
      </c>
      <c r="J38" s="71">
        <v>0</v>
      </c>
      <c r="K38" s="70">
        <v>0</v>
      </c>
      <c r="L38" s="71">
        <v>0</v>
      </c>
      <c r="M38" s="71">
        <v>0</v>
      </c>
    </row>
    <row r="39" spans="1:13" ht="27.95" customHeight="1" x14ac:dyDescent="0.3">
      <c r="A39" s="561" t="s">
        <v>193</v>
      </c>
      <c r="B39" s="571" t="s">
        <v>311</v>
      </c>
      <c r="C39" s="54" t="s">
        <v>27</v>
      </c>
      <c r="D39" s="108">
        <v>755</v>
      </c>
      <c r="E39" s="72">
        <f t="shared" ref="E39:L39" si="9">SUM(E40:E45)</f>
        <v>29000</v>
      </c>
      <c r="F39" s="72">
        <f t="shared" si="9"/>
        <v>4600</v>
      </c>
      <c r="G39" s="72">
        <f t="shared" si="9"/>
        <v>0</v>
      </c>
      <c r="H39" s="85">
        <f t="shared" si="9"/>
        <v>0</v>
      </c>
      <c r="I39" s="72">
        <f t="shared" si="9"/>
        <v>0</v>
      </c>
      <c r="J39" s="72">
        <f t="shared" si="9"/>
        <v>0</v>
      </c>
      <c r="K39" s="72">
        <f t="shared" si="9"/>
        <v>0</v>
      </c>
      <c r="L39" s="72">
        <f t="shared" si="9"/>
        <v>0</v>
      </c>
      <c r="M39" s="85">
        <f>SUM(E39:L39)</f>
        <v>33600</v>
      </c>
    </row>
    <row r="40" spans="1:13" ht="43.5" customHeight="1" x14ac:dyDescent="0.3">
      <c r="A40" s="556"/>
      <c r="B40" s="572"/>
      <c r="C40" s="60" t="s">
        <v>93</v>
      </c>
      <c r="D40" s="44"/>
      <c r="E40" s="75">
        <v>0</v>
      </c>
      <c r="F40" s="84">
        <v>0</v>
      </c>
      <c r="G40" s="84">
        <v>0</v>
      </c>
      <c r="H40" s="78">
        <v>0</v>
      </c>
      <c r="I40" s="84">
        <v>0</v>
      </c>
      <c r="J40" s="78">
        <v>0</v>
      </c>
      <c r="K40" s="84">
        <v>0</v>
      </c>
      <c r="L40" s="78">
        <v>0</v>
      </c>
      <c r="M40" s="71">
        <f>SUM(E40:I40)</f>
        <v>0</v>
      </c>
    </row>
    <row r="41" spans="1:13" ht="27.95" customHeight="1" x14ac:dyDescent="0.3">
      <c r="A41" s="556"/>
      <c r="B41" s="572"/>
      <c r="C41" s="60" t="s">
        <v>94</v>
      </c>
      <c r="D41" s="44" t="s">
        <v>35</v>
      </c>
      <c r="E41" s="70">
        <f>'Приложение 5'!H29</f>
        <v>29000</v>
      </c>
      <c r="F41" s="84">
        <f>'Приложение 5'!I30</f>
        <v>4600</v>
      </c>
      <c r="G41" s="84">
        <f>'Приложение 5'!J30</f>
        <v>0</v>
      </c>
      <c r="H41" s="81">
        <f>'Приложение 5'!K30</f>
        <v>0</v>
      </c>
      <c r="I41" s="86">
        <f>'Приложение 5'!L30</f>
        <v>0</v>
      </c>
      <c r="J41" s="70">
        <f>'Приложение 5'!M30</f>
        <v>0</v>
      </c>
      <c r="K41" s="84">
        <f>'Приложение 5'!N30</f>
        <v>0</v>
      </c>
      <c r="L41" s="84">
        <f>'Приложение 5'!O30</f>
        <v>0</v>
      </c>
      <c r="M41" s="71">
        <f>SUM(E41:L41)</f>
        <v>33600</v>
      </c>
    </row>
    <row r="42" spans="1:13" ht="57" customHeight="1" x14ac:dyDescent="0.3">
      <c r="A42" s="556"/>
      <c r="B42" s="572"/>
      <c r="C42" s="59" t="s">
        <v>95</v>
      </c>
      <c r="D42" s="44"/>
      <c r="E42" s="70">
        <v>0</v>
      </c>
      <c r="F42" s="70">
        <v>0</v>
      </c>
      <c r="G42" s="71">
        <v>0</v>
      </c>
      <c r="H42" s="71">
        <v>0</v>
      </c>
      <c r="I42" s="70">
        <v>0</v>
      </c>
      <c r="J42" s="71">
        <v>0</v>
      </c>
      <c r="K42" s="70">
        <v>0</v>
      </c>
      <c r="L42" s="71">
        <v>0</v>
      </c>
      <c r="M42" s="71">
        <f>SUM(E42:I42)</f>
        <v>0</v>
      </c>
    </row>
    <row r="43" spans="1:13" ht="83.1" customHeight="1" x14ac:dyDescent="0.3">
      <c r="A43" s="556"/>
      <c r="B43" s="572"/>
      <c r="C43" s="60" t="s">
        <v>96</v>
      </c>
      <c r="D43" s="44"/>
      <c r="E43" s="84">
        <v>0</v>
      </c>
      <c r="F43" s="84">
        <v>0</v>
      </c>
      <c r="G43" s="84">
        <v>0</v>
      </c>
      <c r="H43" s="78">
        <v>0</v>
      </c>
      <c r="I43" s="84">
        <v>0</v>
      </c>
      <c r="J43" s="78">
        <v>0</v>
      </c>
      <c r="K43" s="84">
        <v>0</v>
      </c>
      <c r="L43" s="78">
        <v>0</v>
      </c>
      <c r="M43" s="71">
        <v>0</v>
      </c>
    </row>
    <row r="44" spans="1:13" ht="83.1" customHeight="1" x14ac:dyDescent="0.3">
      <c r="A44" s="556"/>
      <c r="B44" s="572"/>
      <c r="C44" s="60" t="s">
        <v>97</v>
      </c>
      <c r="D44" s="44"/>
      <c r="E44" s="84">
        <v>0</v>
      </c>
      <c r="F44" s="84">
        <v>0</v>
      </c>
      <c r="G44" s="84">
        <v>0</v>
      </c>
      <c r="H44" s="71">
        <v>0</v>
      </c>
      <c r="I44" s="70">
        <v>0</v>
      </c>
      <c r="J44" s="71">
        <v>0</v>
      </c>
      <c r="K44" s="70">
        <v>0</v>
      </c>
      <c r="L44" s="71">
        <v>0</v>
      </c>
      <c r="M44" s="71">
        <v>0</v>
      </c>
    </row>
    <row r="45" spans="1:13" ht="57" customHeight="1" x14ac:dyDescent="0.3">
      <c r="A45" s="556"/>
      <c r="B45" s="573"/>
      <c r="C45" s="60" t="s">
        <v>98</v>
      </c>
      <c r="D45" s="44"/>
      <c r="E45" s="84">
        <v>0</v>
      </c>
      <c r="F45" s="84">
        <v>0</v>
      </c>
      <c r="G45" s="84">
        <v>0</v>
      </c>
      <c r="H45" s="71">
        <v>0</v>
      </c>
      <c r="I45" s="70">
        <v>0</v>
      </c>
      <c r="J45" s="71">
        <v>0</v>
      </c>
      <c r="K45" s="70">
        <v>0</v>
      </c>
      <c r="L45" s="71">
        <v>0</v>
      </c>
      <c r="M45" s="71">
        <v>0</v>
      </c>
    </row>
    <row r="46" spans="1:13" ht="27.95" customHeight="1" x14ac:dyDescent="0.3">
      <c r="A46" s="561" t="s">
        <v>194</v>
      </c>
      <c r="B46" s="558" t="s">
        <v>99</v>
      </c>
      <c r="C46" s="54" t="s">
        <v>27</v>
      </c>
      <c r="D46" s="44" t="s">
        <v>35</v>
      </c>
      <c r="E46" s="72">
        <f t="shared" ref="E46:L46" si="10">SUM(E47:E52)</f>
        <v>3700</v>
      </c>
      <c r="F46" s="72">
        <f t="shared" si="10"/>
        <v>1000</v>
      </c>
      <c r="G46" s="72">
        <f t="shared" si="10"/>
        <v>0</v>
      </c>
      <c r="H46" s="85">
        <f t="shared" si="10"/>
        <v>0</v>
      </c>
      <c r="I46" s="72">
        <f t="shared" si="10"/>
        <v>0</v>
      </c>
      <c r="J46" s="72">
        <f t="shared" si="10"/>
        <v>0</v>
      </c>
      <c r="K46" s="72">
        <f t="shared" si="10"/>
        <v>0</v>
      </c>
      <c r="L46" s="72">
        <f t="shared" si="10"/>
        <v>0</v>
      </c>
      <c r="M46" s="85">
        <f>SUM(E46:I46)</f>
        <v>4700</v>
      </c>
    </row>
    <row r="47" spans="1:13" ht="42" customHeight="1" x14ac:dyDescent="0.3">
      <c r="A47" s="556"/>
      <c r="B47" s="559"/>
      <c r="C47" s="60" t="s">
        <v>93</v>
      </c>
      <c r="D47" s="44"/>
      <c r="E47" s="75">
        <v>0</v>
      </c>
      <c r="F47" s="84">
        <v>0</v>
      </c>
      <c r="G47" s="84">
        <v>0</v>
      </c>
      <c r="H47" s="78">
        <v>0</v>
      </c>
      <c r="I47" s="84">
        <v>0</v>
      </c>
      <c r="J47" s="78">
        <v>0</v>
      </c>
      <c r="K47" s="84">
        <v>0</v>
      </c>
      <c r="L47" s="78">
        <v>0</v>
      </c>
      <c r="M47" s="71">
        <f>SUM(E47:I47)</f>
        <v>0</v>
      </c>
    </row>
    <row r="48" spans="1:13" ht="27.95" customHeight="1" x14ac:dyDescent="0.3">
      <c r="A48" s="556"/>
      <c r="B48" s="559"/>
      <c r="C48" s="60" t="s">
        <v>94</v>
      </c>
      <c r="D48" s="44" t="s">
        <v>35</v>
      </c>
      <c r="E48" s="70">
        <f>'Приложение 5'!H31</f>
        <v>3700</v>
      </c>
      <c r="F48" s="70">
        <f>'Приложение 5'!I32</f>
        <v>1000</v>
      </c>
      <c r="G48" s="70">
        <f>'Приложение 5'!J32</f>
        <v>0</v>
      </c>
      <c r="H48" s="71">
        <f>'Приложение 5'!K32</f>
        <v>0</v>
      </c>
      <c r="I48" s="70">
        <f>'Приложение 5'!L32</f>
        <v>0</v>
      </c>
      <c r="J48" s="70">
        <f>'Приложение 5'!M32</f>
        <v>0</v>
      </c>
      <c r="K48" s="70">
        <f>'Приложение 5'!N32</f>
        <v>0</v>
      </c>
      <c r="L48" s="70">
        <f>'Приложение 5'!O32</f>
        <v>0</v>
      </c>
      <c r="M48" s="81">
        <f>SUM(E48:I48)</f>
        <v>4700</v>
      </c>
    </row>
    <row r="49" spans="1:13" ht="62.25" customHeight="1" x14ac:dyDescent="0.3">
      <c r="A49" s="556"/>
      <c r="B49" s="559"/>
      <c r="C49" s="59" t="s">
        <v>95</v>
      </c>
      <c r="D49" s="44"/>
      <c r="E49" s="70">
        <v>0</v>
      </c>
      <c r="F49" s="70">
        <v>0</v>
      </c>
      <c r="G49" s="71">
        <v>0</v>
      </c>
      <c r="H49" s="71">
        <v>0</v>
      </c>
      <c r="I49" s="70">
        <v>0</v>
      </c>
      <c r="J49" s="70">
        <v>0</v>
      </c>
      <c r="K49" s="70">
        <v>0</v>
      </c>
      <c r="L49" s="70">
        <v>0</v>
      </c>
      <c r="M49" s="71">
        <f>SUM(E49:I49)</f>
        <v>0</v>
      </c>
    </row>
    <row r="50" spans="1:13" ht="83.1" customHeight="1" x14ac:dyDescent="0.3">
      <c r="A50" s="556"/>
      <c r="B50" s="559"/>
      <c r="C50" s="60" t="s">
        <v>96</v>
      </c>
      <c r="D50" s="44"/>
      <c r="E50" s="84">
        <v>0</v>
      </c>
      <c r="F50" s="84">
        <v>0</v>
      </c>
      <c r="G50" s="84">
        <v>0</v>
      </c>
      <c r="H50" s="78">
        <v>0</v>
      </c>
      <c r="I50" s="84">
        <v>0</v>
      </c>
      <c r="J50" s="84">
        <v>0</v>
      </c>
      <c r="K50" s="84">
        <v>0</v>
      </c>
      <c r="L50" s="84">
        <v>0</v>
      </c>
      <c r="M50" s="71">
        <v>0</v>
      </c>
    </row>
    <row r="51" spans="1:13" ht="87" customHeight="1" x14ac:dyDescent="0.3">
      <c r="A51" s="556"/>
      <c r="B51" s="559"/>
      <c r="C51" s="60" t="s">
        <v>97</v>
      </c>
      <c r="D51" s="44"/>
      <c r="E51" s="84">
        <v>0</v>
      </c>
      <c r="F51" s="84">
        <v>0</v>
      </c>
      <c r="G51" s="84">
        <v>0</v>
      </c>
      <c r="H51" s="71">
        <v>0</v>
      </c>
      <c r="I51" s="70">
        <v>0</v>
      </c>
      <c r="J51" s="70">
        <v>0</v>
      </c>
      <c r="K51" s="70">
        <v>0</v>
      </c>
      <c r="L51" s="70">
        <v>0</v>
      </c>
      <c r="M51" s="71">
        <v>0</v>
      </c>
    </row>
    <row r="52" spans="1:13" ht="57" customHeight="1" x14ac:dyDescent="0.3">
      <c r="A52" s="556"/>
      <c r="B52" s="559"/>
      <c r="C52" s="60" t="s">
        <v>98</v>
      </c>
      <c r="D52" s="42"/>
      <c r="E52" s="84">
        <v>0</v>
      </c>
      <c r="F52" s="84">
        <v>0</v>
      </c>
      <c r="G52" s="84">
        <v>0</v>
      </c>
      <c r="H52" s="78">
        <v>0</v>
      </c>
      <c r="I52" s="70">
        <v>0</v>
      </c>
      <c r="J52" s="70">
        <v>0</v>
      </c>
      <c r="K52" s="70">
        <v>0</v>
      </c>
      <c r="L52" s="71">
        <v>0</v>
      </c>
      <c r="M52" s="71">
        <v>0</v>
      </c>
    </row>
    <row r="53" spans="1:13" ht="27.95" customHeight="1" x14ac:dyDescent="0.3">
      <c r="A53" s="561" t="s">
        <v>195</v>
      </c>
      <c r="B53" s="571" t="s">
        <v>52</v>
      </c>
      <c r="C53" s="54" t="s">
        <v>27</v>
      </c>
      <c r="D53" s="44" t="s">
        <v>35</v>
      </c>
      <c r="E53" s="72">
        <f t="shared" ref="E53:L53" si="11">SUM(E54:E59)</f>
        <v>48151</v>
      </c>
      <c r="F53" s="72">
        <f t="shared" si="11"/>
        <v>27000</v>
      </c>
      <c r="G53" s="72">
        <f t="shared" si="11"/>
        <v>0</v>
      </c>
      <c r="H53" s="85">
        <f t="shared" si="11"/>
        <v>0</v>
      </c>
      <c r="I53" s="72">
        <f t="shared" si="11"/>
        <v>0</v>
      </c>
      <c r="J53" s="72">
        <f t="shared" si="11"/>
        <v>0</v>
      </c>
      <c r="K53" s="72">
        <f t="shared" si="11"/>
        <v>0</v>
      </c>
      <c r="L53" s="72">
        <f t="shared" si="11"/>
        <v>0</v>
      </c>
      <c r="M53" s="85">
        <f>SUM(E53:I53)</f>
        <v>75151</v>
      </c>
    </row>
    <row r="54" spans="1:13" ht="46.5" customHeight="1" x14ac:dyDescent="0.3">
      <c r="A54" s="556"/>
      <c r="B54" s="572"/>
      <c r="C54" s="60" t="s">
        <v>93</v>
      </c>
      <c r="D54" s="44" t="s">
        <v>35</v>
      </c>
      <c r="E54" s="75">
        <v>0</v>
      </c>
      <c r="F54" s="84">
        <v>13200</v>
      </c>
      <c r="G54" s="84">
        <v>0</v>
      </c>
      <c r="H54" s="78">
        <v>0</v>
      </c>
      <c r="I54" s="84">
        <v>0</v>
      </c>
      <c r="J54" s="84">
        <v>0</v>
      </c>
      <c r="K54" s="84">
        <v>0</v>
      </c>
      <c r="L54" s="84">
        <v>0</v>
      </c>
      <c r="M54" s="71">
        <f>SUM(E54:L54)</f>
        <v>13200</v>
      </c>
    </row>
    <row r="55" spans="1:13" ht="30.75" customHeight="1" x14ac:dyDescent="0.3">
      <c r="A55" s="556"/>
      <c r="B55" s="572"/>
      <c r="C55" s="60" t="s">
        <v>94</v>
      </c>
      <c r="D55" s="44" t="s">
        <v>35</v>
      </c>
      <c r="E55" s="70">
        <f>'Приложение 5'!H33</f>
        <v>48151</v>
      </c>
      <c r="F55" s="70">
        <f>'Приложение 5'!I34</f>
        <v>13800</v>
      </c>
      <c r="G55" s="70">
        <f>'Приложение 5'!J34</f>
        <v>0</v>
      </c>
      <c r="H55" s="71">
        <f>'Приложение 5'!K34</f>
        <v>0</v>
      </c>
      <c r="I55" s="70">
        <f>'Приложение 5'!L34</f>
        <v>0</v>
      </c>
      <c r="J55" s="70">
        <f>'Приложение 5'!M34</f>
        <v>0</v>
      </c>
      <c r="K55" s="70">
        <f>'Приложение 5'!N34</f>
        <v>0</v>
      </c>
      <c r="L55" s="70">
        <f>'Приложение 5'!O34</f>
        <v>0</v>
      </c>
      <c r="M55" s="81">
        <f>SUM(E55:I55)</f>
        <v>61951</v>
      </c>
    </row>
    <row r="56" spans="1:13" ht="69" customHeight="1" x14ac:dyDescent="0.3">
      <c r="A56" s="556"/>
      <c r="B56" s="572"/>
      <c r="C56" s="59" t="s">
        <v>95</v>
      </c>
      <c r="D56" s="44"/>
      <c r="E56" s="70">
        <v>0</v>
      </c>
      <c r="F56" s="70">
        <v>0</v>
      </c>
      <c r="G56" s="71">
        <v>0</v>
      </c>
      <c r="H56" s="71">
        <v>0</v>
      </c>
      <c r="I56" s="70">
        <v>0</v>
      </c>
      <c r="J56" s="70">
        <v>0</v>
      </c>
      <c r="K56" s="70">
        <v>0</v>
      </c>
      <c r="L56" s="70">
        <v>0</v>
      </c>
      <c r="M56" s="71">
        <f>SUM(E56:I56)</f>
        <v>0</v>
      </c>
    </row>
    <row r="57" spans="1:13" ht="83.1" customHeight="1" x14ac:dyDescent="0.3">
      <c r="A57" s="556"/>
      <c r="B57" s="572"/>
      <c r="C57" s="60" t="s">
        <v>96</v>
      </c>
      <c r="D57" s="44"/>
      <c r="E57" s="84">
        <v>0</v>
      </c>
      <c r="F57" s="84">
        <v>0</v>
      </c>
      <c r="G57" s="84">
        <v>0</v>
      </c>
      <c r="H57" s="78">
        <v>0</v>
      </c>
      <c r="I57" s="84">
        <v>0</v>
      </c>
      <c r="J57" s="84">
        <v>0</v>
      </c>
      <c r="K57" s="84">
        <v>0</v>
      </c>
      <c r="L57" s="84">
        <v>0</v>
      </c>
      <c r="M57" s="71">
        <v>0</v>
      </c>
    </row>
    <row r="58" spans="1:13" ht="83.1" customHeight="1" x14ac:dyDescent="0.3">
      <c r="A58" s="556"/>
      <c r="B58" s="572"/>
      <c r="C58" s="60" t="s">
        <v>97</v>
      </c>
      <c r="D58" s="44"/>
      <c r="E58" s="84">
        <v>0</v>
      </c>
      <c r="F58" s="84">
        <v>0</v>
      </c>
      <c r="G58" s="84">
        <v>0</v>
      </c>
      <c r="H58" s="71">
        <v>0</v>
      </c>
      <c r="I58" s="70">
        <v>0</v>
      </c>
      <c r="J58" s="70">
        <v>0</v>
      </c>
      <c r="K58" s="70">
        <v>0</v>
      </c>
      <c r="L58" s="70">
        <v>0</v>
      </c>
      <c r="M58" s="71">
        <v>0</v>
      </c>
    </row>
    <row r="59" spans="1:13" ht="57" customHeight="1" x14ac:dyDescent="0.3">
      <c r="A59" s="557"/>
      <c r="B59" s="573"/>
      <c r="C59" s="59" t="s">
        <v>98</v>
      </c>
      <c r="D59" s="44"/>
      <c r="E59" s="70">
        <v>0</v>
      </c>
      <c r="F59" s="70">
        <v>0</v>
      </c>
      <c r="G59" s="70">
        <v>0</v>
      </c>
      <c r="H59" s="71">
        <v>0</v>
      </c>
      <c r="I59" s="70">
        <v>0</v>
      </c>
      <c r="J59" s="70">
        <v>0</v>
      </c>
      <c r="K59" s="70">
        <v>0</v>
      </c>
      <c r="L59" s="70">
        <v>0</v>
      </c>
      <c r="M59" s="71">
        <v>0</v>
      </c>
    </row>
    <row r="60" spans="1:13" ht="27.95" customHeight="1" x14ac:dyDescent="0.3">
      <c r="A60" s="561" t="s">
        <v>196</v>
      </c>
      <c r="B60" s="571" t="s">
        <v>54</v>
      </c>
      <c r="C60" s="54" t="s">
        <v>27</v>
      </c>
      <c r="D60" s="44" t="s">
        <v>35</v>
      </c>
      <c r="E60" s="72">
        <f t="shared" ref="E60:L60" si="12">SUM(E61:E66)</f>
        <v>0</v>
      </c>
      <c r="F60" s="72">
        <f t="shared" si="12"/>
        <v>5500</v>
      </c>
      <c r="G60" s="72">
        <f t="shared" si="12"/>
        <v>238.89</v>
      </c>
      <c r="H60" s="85">
        <f t="shared" si="12"/>
        <v>0</v>
      </c>
      <c r="I60" s="72">
        <f t="shared" si="12"/>
        <v>0</v>
      </c>
      <c r="J60" s="72">
        <f t="shared" si="12"/>
        <v>0</v>
      </c>
      <c r="K60" s="72">
        <f t="shared" si="12"/>
        <v>0</v>
      </c>
      <c r="L60" s="72">
        <f t="shared" si="12"/>
        <v>0</v>
      </c>
      <c r="M60" s="85">
        <f>SUM(E60:I60)</f>
        <v>5738.89</v>
      </c>
    </row>
    <row r="61" spans="1:13" ht="42" customHeight="1" x14ac:dyDescent="0.3">
      <c r="A61" s="556"/>
      <c r="B61" s="572"/>
      <c r="C61" s="60" t="s">
        <v>93</v>
      </c>
      <c r="D61" s="44"/>
      <c r="E61" s="75">
        <v>0</v>
      </c>
      <c r="F61" s="84">
        <v>0</v>
      </c>
      <c r="G61" s="84">
        <v>0</v>
      </c>
      <c r="H61" s="78">
        <v>0</v>
      </c>
      <c r="I61" s="84">
        <v>0</v>
      </c>
      <c r="J61" s="78">
        <v>0</v>
      </c>
      <c r="K61" s="84">
        <v>0</v>
      </c>
      <c r="L61" s="78">
        <v>0</v>
      </c>
      <c r="M61" s="71">
        <f>SUM(E61:I61)</f>
        <v>0</v>
      </c>
    </row>
    <row r="62" spans="1:13" ht="27.95" customHeight="1" x14ac:dyDescent="0.3">
      <c r="A62" s="556"/>
      <c r="B62" s="572"/>
      <c r="C62" s="60" t="s">
        <v>94</v>
      </c>
      <c r="D62" s="44" t="s">
        <v>35</v>
      </c>
      <c r="E62" s="70">
        <f>'Приложение 5'!H35</f>
        <v>0</v>
      </c>
      <c r="F62" s="70">
        <f>'Приложение 5'!I36</f>
        <v>5500</v>
      </c>
      <c r="G62" s="70">
        <f>'Приложение 5'!J36</f>
        <v>238.89</v>
      </c>
      <c r="H62" s="71">
        <f>'Приложение 5'!K36</f>
        <v>0</v>
      </c>
      <c r="I62" s="70">
        <f>'Приложение 5'!L36</f>
        <v>0</v>
      </c>
      <c r="J62" s="70">
        <f>'Приложение 5'!M36</f>
        <v>0</v>
      </c>
      <c r="K62" s="70">
        <f>'Приложение 5'!N36</f>
        <v>0</v>
      </c>
      <c r="L62" s="70">
        <f>'Приложение 5'!O36</f>
        <v>0</v>
      </c>
      <c r="M62" s="81">
        <f>SUM(E62:I62)</f>
        <v>5738.89</v>
      </c>
    </row>
    <row r="63" spans="1:13" ht="57" customHeight="1" x14ac:dyDescent="0.3">
      <c r="A63" s="556"/>
      <c r="B63" s="572"/>
      <c r="C63" s="59" t="s">
        <v>95</v>
      </c>
      <c r="D63" s="44"/>
      <c r="E63" s="70">
        <v>0</v>
      </c>
      <c r="F63" s="70">
        <v>0</v>
      </c>
      <c r="G63" s="71">
        <v>0</v>
      </c>
      <c r="H63" s="71">
        <v>0</v>
      </c>
      <c r="I63" s="70">
        <v>0</v>
      </c>
      <c r="J63" s="70">
        <v>0</v>
      </c>
      <c r="K63" s="70">
        <v>0</v>
      </c>
      <c r="L63" s="70">
        <v>0</v>
      </c>
      <c r="M63" s="71">
        <f>SUM(E63:I63)</f>
        <v>0</v>
      </c>
    </row>
    <row r="64" spans="1:13" ht="83.1" customHeight="1" x14ac:dyDescent="0.3">
      <c r="A64" s="556"/>
      <c r="B64" s="572"/>
      <c r="C64" s="60" t="s">
        <v>96</v>
      </c>
      <c r="D64" s="44"/>
      <c r="E64" s="84">
        <v>0</v>
      </c>
      <c r="F64" s="84">
        <v>0</v>
      </c>
      <c r="G64" s="84">
        <v>0</v>
      </c>
      <c r="H64" s="78">
        <v>0</v>
      </c>
      <c r="I64" s="84">
        <v>0</v>
      </c>
      <c r="J64" s="84">
        <v>0</v>
      </c>
      <c r="K64" s="84">
        <v>0</v>
      </c>
      <c r="L64" s="84">
        <v>0</v>
      </c>
      <c r="M64" s="71">
        <v>0</v>
      </c>
    </row>
    <row r="65" spans="1:13" ht="83.1" customHeight="1" x14ac:dyDescent="0.3">
      <c r="A65" s="556"/>
      <c r="B65" s="572"/>
      <c r="C65" s="60" t="s">
        <v>97</v>
      </c>
      <c r="D65" s="44"/>
      <c r="E65" s="84">
        <v>0</v>
      </c>
      <c r="F65" s="84">
        <v>0</v>
      </c>
      <c r="G65" s="84">
        <v>0</v>
      </c>
      <c r="H65" s="78">
        <v>0</v>
      </c>
      <c r="I65" s="84">
        <v>0</v>
      </c>
      <c r="J65" s="84">
        <v>0</v>
      </c>
      <c r="K65" s="84">
        <v>0</v>
      </c>
      <c r="L65" s="84">
        <v>0</v>
      </c>
      <c r="M65" s="71">
        <v>0</v>
      </c>
    </row>
    <row r="66" spans="1:13" ht="57" customHeight="1" x14ac:dyDescent="0.3">
      <c r="A66" s="557"/>
      <c r="B66" s="573"/>
      <c r="C66" s="59" t="s">
        <v>98</v>
      </c>
      <c r="D66" s="44"/>
      <c r="E66" s="70">
        <v>0</v>
      </c>
      <c r="F66" s="70">
        <v>0</v>
      </c>
      <c r="G66" s="70">
        <v>0</v>
      </c>
      <c r="H66" s="71">
        <v>0</v>
      </c>
      <c r="I66" s="70">
        <v>0</v>
      </c>
      <c r="J66" s="70">
        <v>0</v>
      </c>
      <c r="K66" s="70">
        <v>0</v>
      </c>
      <c r="L66" s="70">
        <v>0</v>
      </c>
      <c r="M66" s="71">
        <v>0</v>
      </c>
    </row>
    <row r="67" spans="1:13" ht="27.95" customHeight="1" x14ac:dyDescent="0.3">
      <c r="A67" s="561" t="s">
        <v>197</v>
      </c>
      <c r="B67" s="558" t="s">
        <v>56</v>
      </c>
      <c r="C67" s="54" t="s">
        <v>27</v>
      </c>
      <c r="D67" s="44" t="s">
        <v>35</v>
      </c>
      <c r="E67" s="72">
        <f t="shared" ref="E67:L67" si="13">SUM(E68:E73)</f>
        <v>3000</v>
      </c>
      <c r="F67" s="72">
        <f t="shared" si="13"/>
        <v>3090</v>
      </c>
      <c r="G67" s="72">
        <f t="shared" si="13"/>
        <v>11.53</v>
      </c>
      <c r="H67" s="85">
        <f t="shared" si="13"/>
        <v>0</v>
      </c>
      <c r="I67" s="72">
        <f t="shared" si="13"/>
        <v>0</v>
      </c>
      <c r="J67" s="72">
        <f t="shared" si="13"/>
        <v>0</v>
      </c>
      <c r="K67" s="72">
        <f t="shared" si="13"/>
        <v>0</v>
      </c>
      <c r="L67" s="72">
        <f t="shared" si="13"/>
        <v>0</v>
      </c>
      <c r="M67" s="85">
        <f>SUM(E67:I67)</f>
        <v>6101.53</v>
      </c>
    </row>
    <row r="68" spans="1:13" ht="42" customHeight="1" x14ac:dyDescent="0.3">
      <c r="A68" s="556"/>
      <c r="B68" s="559"/>
      <c r="C68" s="60" t="s">
        <v>93</v>
      </c>
      <c r="D68" s="44"/>
      <c r="E68" s="75">
        <v>0</v>
      </c>
      <c r="F68" s="84">
        <v>0</v>
      </c>
      <c r="G68" s="84">
        <v>0</v>
      </c>
      <c r="H68" s="78">
        <v>0</v>
      </c>
      <c r="I68" s="84">
        <v>0</v>
      </c>
      <c r="J68" s="78">
        <v>0</v>
      </c>
      <c r="K68" s="84">
        <v>0</v>
      </c>
      <c r="L68" s="78">
        <v>0</v>
      </c>
      <c r="M68" s="71">
        <f>SUM(E68:I68)</f>
        <v>0</v>
      </c>
    </row>
    <row r="69" spans="1:13" ht="27.95" customHeight="1" x14ac:dyDescent="0.3">
      <c r="A69" s="556"/>
      <c r="B69" s="559"/>
      <c r="C69" s="60" t="s">
        <v>94</v>
      </c>
      <c r="D69" s="44" t="s">
        <v>35</v>
      </c>
      <c r="E69" s="70">
        <f>'Приложение 5'!H37</f>
        <v>3000</v>
      </c>
      <c r="F69" s="70">
        <f>'Приложение 5'!I38</f>
        <v>3090</v>
      </c>
      <c r="G69" s="70">
        <f>'Приложение 5'!J38</f>
        <v>11.53</v>
      </c>
      <c r="H69" s="71">
        <f>'Приложение 5'!K38</f>
        <v>0</v>
      </c>
      <c r="I69" s="70">
        <f>'Приложение 5'!L38</f>
        <v>0</v>
      </c>
      <c r="J69" s="70">
        <f>'Приложение 5'!M38</f>
        <v>0</v>
      </c>
      <c r="K69" s="70">
        <f>'Приложение 5'!N38</f>
        <v>0</v>
      </c>
      <c r="L69" s="70">
        <f>'Приложение 5'!O38</f>
        <v>0</v>
      </c>
      <c r="M69" s="81">
        <f>SUM(E69:I69)</f>
        <v>6101.53</v>
      </c>
    </row>
    <row r="70" spans="1:13" ht="57" customHeight="1" x14ac:dyDescent="0.3">
      <c r="A70" s="556"/>
      <c r="B70" s="559"/>
      <c r="C70" s="59" t="s">
        <v>95</v>
      </c>
      <c r="D70" s="44"/>
      <c r="E70" s="70">
        <v>0</v>
      </c>
      <c r="F70" s="70">
        <v>0</v>
      </c>
      <c r="G70" s="71">
        <v>0</v>
      </c>
      <c r="H70" s="71">
        <v>0</v>
      </c>
      <c r="I70" s="70">
        <v>0</v>
      </c>
      <c r="J70" s="70">
        <v>0</v>
      </c>
      <c r="K70" s="70">
        <v>0</v>
      </c>
      <c r="L70" s="70">
        <v>0</v>
      </c>
      <c r="M70" s="71">
        <f>SUM(E70:I70)</f>
        <v>0</v>
      </c>
    </row>
    <row r="71" spans="1:13" ht="83.1" customHeight="1" x14ac:dyDescent="0.3">
      <c r="A71" s="556"/>
      <c r="B71" s="559"/>
      <c r="C71" s="60" t="s">
        <v>96</v>
      </c>
      <c r="D71" s="44"/>
      <c r="E71" s="84">
        <v>0</v>
      </c>
      <c r="F71" s="84">
        <v>0</v>
      </c>
      <c r="G71" s="84">
        <v>0</v>
      </c>
      <c r="H71" s="78">
        <v>0</v>
      </c>
      <c r="I71" s="84">
        <v>0</v>
      </c>
      <c r="J71" s="84">
        <v>0</v>
      </c>
      <c r="K71" s="84">
        <v>0</v>
      </c>
      <c r="L71" s="84">
        <v>0</v>
      </c>
      <c r="M71" s="71">
        <v>0</v>
      </c>
    </row>
    <row r="72" spans="1:13" ht="83.1" customHeight="1" x14ac:dyDescent="0.3">
      <c r="A72" s="556"/>
      <c r="B72" s="559"/>
      <c r="C72" s="60" t="s">
        <v>97</v>
      </c>
      <c r="D72" s="44"/>
      <c r="E72" s="84">
        <v>0</v>
      </c>
      <c r="F72" s="84">
        <v>0</v>
      </c>
      <c r="G72" s="84">
        <v>0</v>
      </c>
      <c r="H72" s="78">
        <v>0</v>
      </c>
      <c r="I72" s="84">
        <v>0</v>
      </c>
      <c r="J72" s="84">
        <v>0</v>
      </c>
      <c r="K72" s="84">
        <v>0</v>
      </c>
      <c r="L72" s="84">
        <v>0</v>
      </c>
      <c r="M72" s="71">
        <v>0</v>
      </c>
    </row>
    <row r="73" spans="1:13" ht="57" customHeight="1" x14ac:dyDescent="0.3">
      <c r="A73" s="557"/>
      <c r="B73" s="560"/>
      <c r="C73" s="59" t="s">
        <v>98</v>
      </c>
      <c r="D73" s="44"/>
      <c r="E73" s="71">
        <v>0</v>
      </c>
      <c r="F73" s="71">
        <v>0</v>
      </c>
      <c r="G73" s="71">
        <v>0</v>
      </c>
      <c r="H73" s="71">
        <v>0</v>
      </c>
      <c r="I73" s="71">
        <v>0</v>
      </c>
      <c r="J73" s="71">
        <v>0</v>
      </c>
      <c r="K73" s="71">
        <v>0</v>
      </c>
      <c r="L73" s="71">
        <v>0</v>
      </c>
      <c r="M73" s="71">
        <v>0</v>
      </c>
    </row>
    <row r="74" spans="1:13" ht="27.95" customHeight="1" x14ac:dyDescent="0.3">
      <c r="A74" s="561" t="s">
        <v>123</v>
      </c>
      <c r="B74" s="571" t="s">
        <v>372</v>
      </c>
      <c r="C74" s="54" t="s">
        <v>27</v>
      </c>
      <c r="D74" s="45"/>
      <c r="E74" s="87">
        <f>SUM(E75:E80)</f>
        <v>152050</v>
      </c>
      <c r="F74" s="87">
        <f t="shared" ref="F74:L74" si="14">SUM(F75:F80)</f>
        <v>263059.74</v>
      </c>
      <c r="G74" s="87">
        <f t="shared" si="14"/>
        <v>527896.65</v>
      </c>
      <c r="H74" s="87">
        <f>SUM(H75:H80)</f>
        <v>585937.23</v>
      </c>
      <c r="I74" s="87">
        <f t="shared" si="14"/>
        <v>624166.49</v>
      </c>
      <c r="J74" s="87">
        <f t="shared" si="14"/>
        <v>258509.84</v>
      </c>
      <c r="K74" s="87">
        <f t="shared" si="14"/>
        <v>258509.84</v>
      </c>
      <c r="L74" s="87">
        <f t="shared" si="14"/>
        <v>258509.84</v>
      </c>
      <c r="M74" s="85">
        <f>SUM(E74:L74)</f>
        <v>2928639.63</v>
      </c>
    </row>
    <row r="75" spans="1:13" ht="42" customHeight="1" x14ac:dyDescent="0.3">
      <c r="A75" s="556"/>
      <c r="B75" s="572"/>
      <c r="C75" s="60" t="s">
        <v>93</v>
      </c>
      <c r="D75" s="44"/>
      <c r="E75" s="84">
        <f t="shared" ref="E75:L75" si="15">E82+E89+E96+E103+E110+E117</f>
        <v>0</v>
      </c>
      <c r="F75" s="84">
        <f t="shared" si="15"/>
        <v>49220.58</v>
      </c>
      <c r="G75" s="84">
        <f t="shared" si="15"/>
        <v>37274.6</v>
      </c>
      <c r="H75" s="84">
        <f t="shared" si="15"/>
        <v>0</v>
      </c>
      <c r="I75" s="84">
        <f t="shared" si="15"/>
        <v>0</v>
      </c>
      <c r="J75" s="84">
        <f t="shared" si="15"/>
        <v>0</v>
      </c>
      <c r="K75" s="84">
        <f t="shared" si="15"/>
        <v>0</v>
      </c>
      <c r="L75" s="84">
        <f t="shared" si="15"/>
        <v>0</v>
      </c>
      <c r="M75" s="71">
        <f>SUM(E75:L75)</f>
        <v>86495.18</v>
      </c>
    </row>
    <row r="76" spans="1:13" ht="27.95" customHeight="1" x14ac:dyDescent="0.3">
      <c r="A76" s="556"/>
      <c r="B76" s="572"/>
      <c r="C76" s="60" t="s">
        <v>94</v>
      </c>
      <c r="D76" s="44"/>
      <c r="E76" s="84">
        <f>'Приложение 5'!H40</f>
        <v>152050</v>
      </c>
      <c r="F76" s="84">
        <f>'Приложение 5'!I40</f>
        <v>163636.29999999999</v>
      </c>
      <c r="G76" s="84">
        <f>'Приложение 5'!J40</f>
        <v>340535.76</v>
      </c>
      <c r="H76" s="78">
        <f>'Приложение 5'!K39</f>
        <v>333113.43</v>
      </c>
      <c r="I76" s="84">
        <f>'Приложение 5'!L39</f>
        <v>378711.94</v>
      </c>
      <c r="J76" s="84">
        <f>'Приложение 5'!M39</f>
        <v>158509.84</v>
      </c>
      <c r="K76" s="84">
        <f>'Приложение 5'!N39</f>
        <v>158509.84</v>
      </c>
      <c r="L76" s="84">
        <f>'Приложение 5'!O39</f>
        <v>158509.84</v>
      </c>
      <c r="M76" s="71">
        <f>SUM(E76:L76)</f>
        <v>1843576.95</v>
      </c>
    </row>
    <row r="77" spans="1:13" ht="57" customHeight="1" x14ac:dyDescent="0.3">
      <c r="A77" s="556"/>
      <c r="B77" s="572"/>
      <c r="C77" s="59" t="s">
        <v>95</v>
      </c>
      <c r="D77" s="44"/>
      <c r="E77" s="84">
        <f t="shared" ref="E77:L77" si="16">E84+E91+E98+E105+E112+E119</f>
        <v>0</v>
      </c>
      <c r="F77" s="84">
        <f t="shared" si="16"/>
        <v>50202.86</v>
      </c>
      <c r="G77" s="84">
        <f t="shared" si="16"/>
        <v>150086.29</v>
      </c>
      <c r="H77" s="84">
        <f>H84+H91+H98+H105+H112+H119</f>
        <v>252823.8</v>
      </c>
      <c r="I77" s="84">
        <f t="shared" si="16"/>
        <v>245454.55</v>
      </c>
      <c r="J77" s="84">
        <f t="shared" si="16"/>
        <v>100000</v>
      </c>
      <c r="K77" s="84">
        <f t="shared" si="16"/>
        <v>100000</v>
      </c>
      <c r="L77" s="84">
        <f t="shared" si="16"/>
        <v>100000</v>
      </c>
      <c r="M77" s="71">
        <f>SUM(E77:L77)</f>
        <v>998567.5</v>
      </c>
    </row>
    <row r="78" spans="1:13" ht="83.1" customHeight="1" x14ac:dyDescent="0.3">
      <c r="A78" s="556"/>
      <c r="B78" s="572"/>
      <c r="C78" s="60" t="s">
        <v>96</v>
      </c>
      <c r="D78" s="44"/>
      <c r="E78" s="84">
        <v>0</v>
      </c>
      <c r="F78" s="84">
        <v>0</v>
      </c>
      <c r="G78" s="84">
        <v>0</v>
      </c>
      <c r="H78" s="84">
        <v>0</v>
      </c>
      <c r="I78" s="84">
        <v>0</v>
      </c>
      <c r="J78" s="84">
        <v>0</v>
      </c>
      <c r="K78" s="84">
        <v>0</v>
      </c>
      <c r="L78" s="84">
        <v>0</v>
      </c>
      <c r="M78" s="71">
        <v>0</v>
      </c>
    </row>
    <row r="79" spans="1:13" ht="83.1" customHeight="1" x14ac:dyDescent="0.3">
      <c r="A79" s="556"/>
      <c r="B79" s="572"/>
      <c r="C79" s="59" t="s">
        <v>97</v>
      </c>
      <c r="D79" s="44"/>
      <c r="E79" s="70">
        <v>0</v>
      </c>
      <c r="F79" s="70">
        <v>0</v>
      </c>
      <c r="G79" s="70">
        <v>0</v>
      </c>
      <c r="H79" s="70">
        <v>0</v>
      </c>
      <c r="I79" s="70">
        <v>0</v>
      </c>
      <c r="J79" s="70">
        <v>0</v>
      </c>
      <c r="K79" s="70">
        <v>0</v>
      </c>
      <c r="L79" s="70">
        <v>0</v>
      </c>
      <c r="M79" s="71">
        <v>0</v>
      </c>
    </row>
    <row r="80" spans="1:13" ht="57" customHeight="1" x14ac:dyDescent="0.3">
      <c r="A80" s="557"/>
      <c r="B80" s="573"/>
      <c r="C80" s="60" t="s">
        <v>98</v>
      </c>
      <c r="D80" s="44"/>
      <c r="E80" s="84">
        <v>0</v>
      </c>
      <c r="F80" s="84">
        <v>0</v>
      </c>
      <c r="G80" s="84">
        <v>0</v>
      </c>
      <c r="H80" s="84">
        <v>0</v>
      </c>
      <c r="I80" s="84">
        <v>0</v>
      </c>
      <c r="J80" s="84">
        <v>0</v>
      </c>
      <c r="K80" s="84">
        <v>0</v>
      </c>
      <c r="L80" s="84">
        <v>0</v>
      </c>
      <c r="M80" s="71">
        <v>0</v>
      </c>
    </row>
    <row r="81" spans="1:13" ht="27.95" customHeight="1" x14ac:dyDescent="0.3">
      <c r="A81" s="561" t="s">
        <v>124</v>
      </c>
      <c r="B81" s="613" t="s">
        <v>382</v>
      </c>
      <c r="C81" s="54" t="s">
        <v>27</v>
      </c>
      <c r="D81" s="44" t="s">
        <v>35</v>
      </c>
      <c r="E81" s="72">
        <f t="shared" ref="E81:L81" si="17">SUM(E82:E87)</f>
        <v>14000</v>
      </c>
      <c r="F81" s="72">
        <f t="shared" si="17"/>
        <v>36186.300000000003</v>
      </c>
      <c r="G81" s="72">
        <f t="shared" si="17"/>
        <v>48267.76</v>
      </c>
      <c r="H81" s="85">
        <f>SUM(H82:H87)</f>
        <v>49375.34</v>
      </c>
      <c r="I81" s="72">
        <f t="shared" si="17"/>
        <v>56635.64</v>
      </c>
      <c r="J81" s="72">
        <f t="shared" si="17"/>
        <v>48009.84</v>
      </c>
      <c r="K81" s="72">
        <f t="shared" si="17"/>
        <v>48009.84</v>
      </c>
      <c r="L81" s="72">
        <f t="shared" si="17"/>
        <v>48009.84</v>
      </c>
      <c r="M81" s="85">
        <f>SUM(E81:L81)</f>
        <v>348494.56</v>
      </c>
    </row>
    <row r="82" spans="1:13" ht="42" customHeight="1" x14ac:dyDescent="0.3">
      <c r="A82" s="556"/>
      <c r="B82" s="614"/>
      <c r="C82" s="60" t="s">
        <v>93</v>
      </c>
      <c r="D82" s="44"/>
      <c r="E82" s="75">
        <v>0</v>
      </c>
      <c r="F82" s="84">
        <v>0</v>
      </c>
      <c r="G82" s="84">
        <v>0</v>
      </c>
      <c r="H82" s="78">
        <v>0</v>
      </c>
      <c r="I82" s="84">
        <v>0</v>
      </c>
      <c r="J82" s="78">
        <v>0</v>
      </c>
      <c r="K82" s="84">
        <v>0</v>
      </c>
      <c r="L82" s="78">
        <v>0</v>
      </c>
      <c r="M82" s="71">
        <f>SUM(E82:I82)</f>
        <v>0</v>
      </c>
    </row>
    <row r="83" spans="1:13" ht="27.95" customHeight="1" x14ac:dyDescent="0.3">
      <c r="A83" s="556"/>
      <c r="B83" s="614"/>
      <c r="C83" s="60" t="s">
        <v>94</v>
      </c>
      <c r="D83" s="44" t="s">
        <v>35</v>
      </c>
      <c r="E83" s="70">
        <f>'Приложение 5'!H42</f>
        <v>14000</v>
      </c>
      <c r="F83" s="84">
        <f>'Приложение 5'!I43</f>
        <v>36186.300000000003</v>
      </c>
      <c r="G83" s="84">
        <f>'Приложение 5'!J43</f>
        <v>48267.76</v>
      </c>
      <c r="H83" s="81">
        <f>'Приложение 5'!K44</f>
        <v>49375.34</v>
      </c>
      <c r="I83" s="86">
        <f>'Приложение 5'!L44</f>
        <v>56635.64</v>
      </c>
      <c r="J83" s="70">
        <f>'Приложение 5'!M44</f>
        <v>48009.84</v>
      </c>
      <c r="K83" s="84">
        <f>'Приложение 5'!N44</f>
        <v>48009.84</v>
      </c>
      <c r="L83" s="84">
        <f>'Приложение 5'!O44</f>
        <v>48009.84</v>
      </c>
      <c r="M83" s="81">
        <f>SUM(E83:L83)</f>
        <v>348494.56</v>
      </c>
    </row>
    <row r="84" spans="1:13" ht="57" customHeight="1" x14ac:dyDescent="0.3">
      <c r="A84" s="556"/>
      <c r="B84" s="614"/>
      <c r="C84" s="59" t="s">
        <v>95</v>
      </c>
      <c r="D84" s="44"/>
      <c r="E84" s="70">
        <v>0</v>
      </c>
      <c r="F84" s="70">
        <v>0</v>
      </c>
      <c r="G84" s="71">
        <v>0</v>
      </c>
      <c r="H84" s="71">
        <v>0</v>
      </c>
      <c r="I84" s="70">
        <v>0</v>
      </c>
      <c r="J84" s="71">
        <v>0</v>
      </c>
      <c r="K84" s="70">
        <v>0</v>
      </c>
      <c r="L84" s="71">
        <v>0</v>
      </c>
      <c r="M84" s="71">
        <f>SUM(E84:I84)</f>
        <v>0</v>
      </c>
    </row>
    <row r="85" spans="1:13" ht="83.1" customHeight="1" x14ac:dyDescent="0.3">
      <c r="A85" s="556"/>
      <c r="B85" s="614"/>
      <c r="C85" s="68" t="s">
        <v>96</v>
      </c>
      <c r="D85" s="117"/>
      <c r="E85" s="70">
        <v>0</v>
      </c>
      <c r="F85" s="70">
        <v>0</v>
      </c>
      <c r="G85" s="70">
        <v>0</v>
      </c>
      <c r="H85" s="70">
        <v>0</v>
      </c>
      <c r="I85" s="70">
        <v>0</v>
      </c>
      <c r="J85" s="70">
        <v>0</v>
      </c>
      <c r="K85" s="70">
        <v>0</v>
      </c>
      <c r="L85" s="70">
        <v>0</v>
      </c>
      <c r="M85" s="71">
        <v>0</v>
      </c>
    </row>
    <row r="86" spans="1:13" ht="83.1" customHeight="1" x14ac:dyDescent="0.3">
      <c r="A86" s="556"/>
      <c r="B86" s="614"/>
      <c r="C86" s="68" t="s">
        <v>97</v>
      </c>
      <c r="D86" s="117"/>
      <c r="E86" s="70">
        <v>0</v>
      </c>
      <c r="F86" s="70">
        <v>0</v>
      </c>
      <c r="G86" s="70">
        <v>0</v>
      </c>
      <c r="H86" s="70">
        <v>0</v>
      </c>
      <c r="I86" s="70">
        <v>0</v>
      </c>
      <c r="J86" s="70">
        <v>0</v>
      </c>
      <c r="K86" s="70">
        <v>0</v>
      </c>
      <c r="L86" s="70">
        <v>0</v>
      </c>
      <c r="M86" s="71">
        <v>0</v>
      </c>
    </row>
    <row r="87" spans="1:13" ht="57" customHeight="1" x14ac:dyDescent="0.3">
      <c r="A87" s="556"/>
      <c r="B87" s="614"/>
      <c r="C87" s="68" t="s">
        <v>98</v>
      </c>
      <c r="D87" s="42"/>
      <c r="E87" s="70">
        <v>0</v>
      </c>
      <c r="F87" s="70">
        <v>0</v>
      </c>
      <c r="G87" s="70">
        <v>0</v>
      </c>
      <c r="H87" s="70">
        <v>0</v>
      </c>
      <c r="I87" s="70">
        <v>0</v>
      </c>
      <c r="J87" s="70">
        <v>0</v>
      </c>
      <c r="K87" s="70">
        <v>0</v>
      </c>
      <c r="L87" s="70">
        <v>0</v>
      </c>
      <c r="M87" s="71">
        <v>0</v>
      </c>
    </row>
    <row r="88" spans="1:13" ht="27.95" customHeight="1" x14ac:dyDescent="0.3">
      <c r="A88" s="561" t="s">
        <v>313</v>
      </c>
      <c r="B88" s="571" t="s">
        <v>142</v>
      </c>
      <c r="C88" s="54" t="s">
        <v>27</v>
      </c>
      <c r="D88" s="44" t="s">
        <v>35</v>
      </c>
      <c r="E88" s="72">
        <f t="shared" ref="E88:L88" si="18">SUM(E89:E94)</f>
        <v>84050</v>
      </c>
      <c r="F88" s="72">
        <f t="shared" si="18"/>
        <v>18114.28</v>
      </c>
      <c r="G88" s="72">
        <f t="shared" si="18"/>
        <v>12800</v>
      </c>
      <c r="H88" s="85">
        <f t="shared" si="18"/>
        <v>14800</v>
      </c>
      <c r="I88" s="72">
        <f t="shared" si="18"/>
        <v>19676.3</v>
      </c>
      <c r="J88" s="72">
        <f t="shared" si="18"/>
        <v>10500</v>
      </c>
      <c r="K88" s="72">
        <f t="shared" si="18"/>
        <v>10500</v>
      </c>
      <c r="L88" s="72">
        <f t="shared" si="18"/>
        <v>10500</v>
      </c>
      <c r="M88" s="85">
        <f>SUM(E88:L88)</f>
        <v>180940.58</v>
      </c>
    </row>
    <row r="89" spans="1:13" ht="42" customHeight="1" x14ac:dyDescent="0.3">
      <c r="A89" s="556"/>
      <c r="B89" s="572"/>
      <c r="C89" s="60" t="s">
        <v>93</v>
      </c>
      <c r="D89" s="44" t="s">
        <v>35</v>
      </c>
      <c r="E89" s="75">
        <v>0</v>
      </c>
      <c r="F89" s="84">
        <v>7804.28</v>
      </c>
      <c r="G89" s="84">
        <v>0</v>
      </c>
      <c r="H89" s="78">
        <v>0</v>
      </c>
      <c r="I89" s="84">
        <v>0</v>
      </c>
      <c r="J89" s="78">
        <v>0</v>
      </c>
      <c r="K89" s="84">
        <v>0</v>
      </c>
      <c r="L89" s="78">
        <v>0</v>
      </c>
      <c r="M89" s="71">
        <f>SUM(E89:I89)</f>
        <v>7804.28</v>
      </c>
    </row>
    <row r="90" spans="1:13" ht="27.95" customHeight="1" x14ac:dyDescent="0.3">
      <c r="A90" s="556"/>
      <c r="B90" s="572"/>
      <c r="C90" s="60" t="s">
        <v>94</v>
      </c>
      <c r="D90" s="44" t="s">
        <v>35</v>
      </c>
      <c r="E90" s="70">
        <f>'Приложение 5'!H45</f>
        <v>84050</v>
      </c>
      <c r="F90" s="70">
        <f>'Приложение 5'!I46+'Приложение 5'!I47</f>
        <v>10310</v>
      </c>
      <c r="G90" s="70">
        <f>'Приложение 5'!J46+'Приложение 5'!J47</f>
        <v>12800</v>
      </c>
      <c r="H90" s="71">
        <f>'Приложение 5'!K48+'Приложение 5'!K49</f>
        <v>14800</v>
      </c>
      <c r="I90" s="71">
        <f>'Приложение 5'!L48+'Приложение 5'!L49</f>
        <v>19676.3</v>
      </c>
      <c r="J90" s="71">
        <f>'Приложение 5'!M48+'Приложение 5'!M49</f>
        <v>10500</v>
      </c>
      <c r="K90" s="71">
        <f>'Приложение 5'!N48+'Приложение 5'!N49</f>
        <v>10500</v>
      </c>
      <c r="L90" s="71">
        <f>'Приложение 5'!O48+'Приложение 5'!O49</f>
        <v>10500</v>
      </c>
      <c r="M90" s="81">
        <f>SUM(E90:L90)</f>
        <v>173136.3</v>
      </c>
    </row>
    <row r="91" spans="1:13" ht="57" customHeight="1" x14ac:dyDescent="0.3">
      <c r="A91" s="556"/>
      <c r="B91" s="572"/>
      <c r="C91" s="59" t="s">
        <v>95</v>
      </c>
      <c r="D91" s="44"/>
      <c r="E91" s="70">
        <v>0</v>
      </c>
      <c r="F91" s="70">
        <v>0</v>
      </c>
      <c r="G91" s="71">
        <v>0</v>
      </c>
      <c r="H91" s="71">
        <v>0</v>
      </c>
      <c r="I91" s="70">
        <v>0</v>
      </c>
      <c r="J91" s="71">
        <v>0</v>
      </c>
      <c r="K91" s="70">
        <v>0</v>
      </c>
      <c r="L91" s="71">
        <v>0</v>
      </c>
      <c r="M91" s="71">
        <f>SUM(E91:I91)</f>
        <v>0</v>
      </c>
    </row>
    <row r="92" spans="1:13" ht="83.1" customHeight="1" x14ac:dyDescent="0.3">
      <c r="A92" s="556"/>
      <c r="B92" s="572"/>
      <c r="C92" s="68" t="s">
        <v>96</v>
      </c>
      <c r="D92" s="117"/>
      <c r="E92" s="115">
        <v>0</v>
      </c>
      <c r="F92" s="115">
        <v>0</v>
      </c>
      <c r="G92" s="115">
        <v>0</v>
      </c>
      <c r="H92" s="48">
        <v>0</v>
      </c>
      <c r="I92" s="115">
        <v>0</v>
      </c>
      <c r="J92" s="48">
        <v>0</v>
      </c>
      <c r="K92" s="115">
        <v>0</v>
      </c>
      <c r="L92" s="48">
        <v>0</v>
      </c>
      <c r="M92" s="47">
        <v>0</v>
      </c>
    </row>
    <row r="93" spans="1:13" ht="83.1" customHeight="1" x14ac:dyDescent="0.3">
      <c r="A93" s="556"/>
      <c r="B93" s="572"/>
      <c r="C93" s="68" t="s">
        <v>97</v>
      </c>
      <c r="D93" s="117"/>
      <c r="E93" s="115">
        <v>0</v>
      </c>
      <c r="F93" s="115">
        <v>0</v>
      </c>
      <c r="G93" s="115">
        <v>0</v>
      </c>
      <c r="H93" s="47">
        <v>0</v>
      </c>
      <c r="I93" s="116">
        <v>0</v>
      </c>
      <c r="J93" s="47">
        <v>0</v>
      </c>
      <c r="K93" s="116">
        <v>0</v>
      </c>
      <c r="L93" s="47">
        <v>0</v>
      </c>
      <c r="M93" s="47">
        <v>0</v>
      </c>
    </row>
    <row r="94" spans="1:13" ht="57" customHeight="1" x14ac:dyDescent="0.3">
      <c r="A94" s="556"/>
      <c r="B94" s="572"/>
      <c r="C94" s="68" t="s">
        <v>98</v>
      </c>
      <c r="D94" s="117"/>
      <c r="E94" s="115">
        <v>0</v>
      </c>
      <c r="F94" s="115">
        <v>0</v>
      </c>
      <c r="G94" s="115">
        <v>0</v>
      </c>
      <c r="H94" s="47">
        <v>0</v>
      </c>
      <c r="I94" s="116">
        <v>0</v>
      </c>
      <c r="J94" s="47">
        <v>0</v>
      </c>
      <c r="K94" s="116">
        <v>0</v>
      </c>
      <c r="L94" s="47">
        <v>0</v>
      </c>
      <c r="M94" s="47">
        <v>0</v>
      </c>
    </row>
    <row r="95" spans="1:13" ht="27.95" customHeight="1" x14ac:dyDescent="0.3">
      <c r="A95" s="561" t="s">
        <v>126</v>
      </c>
      <c r="B95" s="571" t="s">
        <v>47</v>
      </c>
      <c r="C95" s="54" t="s">
        <v>27</v>
      </c>
      <c r="D95" s="44" t="s">
        <v>35</v>
      </c>
      <c r="E95" s="72">
        <f t="shared" ref="E95:L95" si="19">SUM(E96:E101)</f>
        <v>54000</v>
      </c>
      <c r="F95" s="72">
        <f t="shared" si="19"/>
        <v>167342.85999999999</v>
      </c>
      <c r="G95" s="72">
        <f t="shared" si="19"/>
        <v>186954.29</v>
      </c>
      <c r="H95" s="85">
        <f t="shared" si="19"/>
        <v>34285.71</v>
      </c>
      <c r="I95" s="72">
        <f t="shared" si="19"/>
        <v>0</v>
      </c>
      <c r="J95" s="72">
        <f t="shared" si="19"/>
        <v>0</v>
      </c>
      <c r="K95" s="72">
        <f t="shared" si="19"/>
        <v>0</v>
      </c>
      <c r="L95" s="72">
        <f t="shared" si="19"/>
        <v>0</v>
      </c>
      <c r="M95" s="85">
        <f>SUM(E95:L95)</f>
        <v>442582.86</v>
      </c>
    </row>
    <row r="96" spans="1:13" ht="42" customHeight="1" x14ac:dyDescent="0.3">
      <c r="A96" s="556"/>
      <c r="B96" s="572"/>
      <c r="C96" s="60" t="s">
        <v>93</v>
      </c>
      <c r="D96" s="44"/>
      <c r="E96" s="75">
        <v>0</v>
      </c>
      <c r="F96" s="84">
        <v>0</v>
      </c>
      <c r="G96" s="84">
        <v>0</v>
      </c>
      <c r="H96" s="78">
        <v>0</v>
      </c>
      <c r="I96" s="84">
        <v>0</v>
      </c>
      <c r="J96" s="78">
        <v>0</v>
      </c>
      <c r="K96" s="84">
        <v>0</v>
      </c>
      <c r="L96" s="78">
        <v>0</v>
      </c>
      <c r="M96" s="71">
        <f>SUM(E96:I96)</f>
        <v>0</v>
      </c>
    </row>
    <row r="97" spans="1:16" ht="27.95" customHeight="1" x14ac:dyDescent="0.3">
      <c r="A97" s="556"/>
      <c r="B97" s="572"/>
      <c r="C97" s="59" t="s">
        <v>94</v>
      </c>
      <c r="D97" s="44" t="s">
        <v>35</v>
      </c>
      <c r="E97" s="70">
        <f>'Приложение 5'!H50</f>
        <v>54000</v>
      </c>
      <c r="F97" s="70">
        <f>'Приложение 5'!I51</f>
        <v>117140</v>
      </c>
      <c r="G97" s="70">
        <f>'Приложение 5'!J51</f>
        <v>130868</v>
      </c>
      <c r="H97" s="71">
        <f>'Приложение 5'!K52</f>
        <v>24000</v>
      </c>
      <c r="I97" s="71">
        <f>'Приложение 5'!L52</f>
        <v>0</v>
      </c>
      <c r="J97" s="71">
        <f>'Приложение 5'!M52</f>
        <v>0</v>
      </c>
      <c r="K97" s="71">
        <f>'Приложение 5'!N52</f>
        <v>0</v>
      </c>
      <c r="L97" s="71">
        <f>'Приложение 5'!O52</f>
        <v>0</v>
      </c>
      <c r="M97" s="81">
        <f>SUM(E97:L97)</f>
        <v>326008</v>
      </c>
      <c r="P97" s="18"/>
    </row>
    <row r="98" spans="1:16" ht="61.5" customHeight="1" x14ac:dyDescent="0.3">
      <c r="A98" s="556"/>
      <c r="B98" s="572"/>
      <c r="C98" s="59" t="s">
        <v>95</v>
      </c>
      <c r="D98" s="44"/>
      <c r="E98" s="70">
        <v>0</v>
      </c>
      <c r="F98" s="70">
        <f t="shared" ref="F98:L98" si="20">F97*30/70</f>
        <v>50202.86</v>
      </c>
      <c r="G98" s="70">
        <f t="shared" si="20"/>
        <v>56086.29</v>
      </c>
      <c r="H98" s="70">
        <f t="shared" si="20"/>
        <v>10285.709999999999</v>
      </c>
      <c r="I98" s="70">
        <f t="shared" si="20"/>
        <v>0</v>
      </c>
      <c r="J98" s="70">
        <f t="shared" si="20"/>
        <v>0</v>
      </c>
      <c r="K98" s="70">
        <f t="shared" si="20"/>
        <v>0</v>
      </c>
      <c r="L98" s="70">
        <f t="shared" si="20"/>
        <v>0</v>
      </c>
      <c r="M98" s="71">
        <f>SUM(E98:I98)</f>
        <v>116574.86</v>
      </c>
    </row>
    <row r="99" spans="1:16" ht="87" customHeight="1" x14ac:dyDescent="0.3">
      <c r="A99" s="556"/>
      <c r="B99" s="572"/>
      <c r="C99" s="68" t="s">
        <v>96</v>
      </c>
      <c r="D99" s="117"/>
      <c r="E99" s="70">
        <v>0</v>
      </c>
      <c r="F99" s="70">
        <v>0</v>
      </c>
      <c r="G99" s="70">
        <v>0</v>
      </c>
      <c r="H99" s="70">
        <v>0</v>
      </c>
      <c r="I99" s="70">
        <v>0</v>
      </c>
      <c r="J99" s="70">
        <v>0</v>
      </c>
      <c r="K99" s="70">
        <v>0</v>
      </c>
      <c r="L99" s="70">
        <v>0</v>
      </c>
      <c r="M99" s="71">
        <v>0</v>
      </c>
    </row>
    <row r="100" spans="1:16" ht="89.25" customHeight="1" x14ac:dyDescent="0.3">
      <c r="A100" s="556"/>
      <c r="B100" s="572"/>
      <c r="C100" s="68" t="s">
        <v>97</v>
      </c>
      <c r="D100" s="117"/>
      <c r="E100" s="70">
        <v>0</v>
      </c>
      <c r="F100" s="70">
        <v>0</v>
      </c>
      <c r="G100" s="70">
        <v>0</v>
      </c>
      <c r="H100" s="70">
        <v>0</v>
      </c>
      <c r="I100" s="70">
        <v>0</v>
      </c>
      <c r="J100" s="70">
        <v>0</v>
      </c>
      <c r="K100" s="70">
        <v>0</v>
      </c>
      <c r="L100" s="70">
        <v>0</v>
      </c>
      <c r="M100" s="71">
        <v>0</v>
      </c>
    </row>
    <row r="101" spans="1:16" ht="57" customHeight="1" x14ac:dyDescent="0.3">
      <c r="A101" s="556"/>
      <c r="B101" s="572"/>
      <c r="C101" s="68" t="s">
        <v>98</v>
      </c>
      <c r="D101" s="117"/>
      <c r="E101" s="70">
        <v>0</v>
      </c>
      <c r="F101" s="70">
        <v>0</v>
      </c>
      <c r="G101" s="70">
        <v>0</v>
      </c>
      <c r="H101" s="70">
        <v>0</v>
      </c>
      <c r="I101" s="70">
        <v>0</v>
      </c>
      <c r="J101" s="70">
        <v>0</v>
      </c>
      <c r="K101" s="70">
        <v>0</v>
      </c>
      <c r="L101" s="70">
        <v>0</v>
      </c>
      <c r="M101" s="71">
        <v>0</v>
      </c>
    </row>
    <row r="102" spans="1:16" ht="27.95" customHeight="1" x14ac:dyDescent="0.3">
      <c r="A102" s="577" t="s">
        <v>383</v>
      </c>
      <c r="B102" s="571" t="s">
        <v>384</v>
      </c>
      <c r="C102" s="54" t="s">
        <v>27</v>
      </c>
      <c r="D102" s="44" t="s">
        <v>35</v>
      </c>
      <c r="E102" s="72">
        <v>0</v>
      </c>
      <c r="F102" s="72">
        <f>F103</f>
        <v>41416.300000000003</v>
      </c>
      <c r="G102" s="72">
        <f>G103</f>
        <v>37274.6</v>
      </c>
      <c r="H102" s="88">
        <v>0</v>
      </c>
      <c r="I102" s="87">
        <v>0</v>
      </c>
      <c r="J102" s="72">
        <v>0</v>
      </c>
      <c r="K102" s="72">
        <f>K103</f>
        <v>0</v>
      </c>
      <c r="L102" s="72">
        <f>L103</f>
        <v>0</v>
      </c>
      <c r="M102" s="85">
        <f>SUM(E102:I102)</f>
        <v>78690.899999999994</v>
      </c>
    </row>
    <row r="103" spans="1:16" ht="42" customHeight="1" x14ac:dyDescent="0.3">
      <c r="A103" s="578"/>
      <c r="B103" s="572"/>
      <c r="C103" s="60" t="s">
        <v>93</v>
      </c>
      <c r="D103" s="44" t="s">
        <v>35</v>
      </c>
      <c r="E103" s="70">
        <v>0</v>
      </c>
      <c r="F103" s="70">
        <v>41416.300000000003</v>
      </c>
      <c r="G103" s="70">
        <v>37274.6</v>
      </c>
      <c r="H103" s="78">
        <v>0</v>
      </c>
      <c r="I103" s="84">
        <v>0</v>
      </c>
      <c r="J103" s="78">
        <v>0</v>
      </c>
      <c r="K103" s="84">
        <v>0</v>
      </c>
      <c r="L103" s="78">
        <v>0</v>
      </c>
      <c r="M103" s="71">
        <f>SUM(E103:I103)</f>
        <v>78690.899999999994</v>
      </c>
    </row>
    <row r="104" spans="1:16" ht="27.95" customHeight="1" x14ac:dyDescent="0.3">
      <c r="A104" s="578"/>
      <c r="B104" s="572"/>
      <c r="C104" s="60" t="s">
        <v>94</v>
      </c>
      <c r="D104" s="44"/>
      <c r="E104" s="70">
        <f>'Приложение 5'!H53</f>
        <v>0</v>
      </c>
      <c r="F104" s="70">
        <f>'Приложение 5'!I53</f>
        <v>0</v>
      </c>
      <c r="G104" s="70">
        <f>'Приложение 5'!J53</f>
        <v>0</v>
      </c>
      <c r="H104" s="70">
        <f>'Приложение 5'!K53</f>
        <v>0</v>
      </c>
      <c r="I104" s="70">
        <f>'Приложение 5'!L53</f>
        <v>0</v>
      </c>
      <c r="J104" s="70">
        <f>'Приложение 5'!M53</f>
        <v>0</v>
      </c>
      <c r="K104" s="70">
        <f>'Приложение 5'!N53</f>
        <v>0</v>
      </c>
      <c r="L104" s="70">
        <f>'Приложение 5'!O53</f>
        <v>0</v>
      </c>
      <c r="M104" s="81">
        <f>SUM(E104:I104)</f>
        <v>0</v>
      </c>
    </row>
    <row r="105" spans="1:16" ht="57" customHeight="1" x14ac:dyDescent="0.3">
      <c r="A105" s="578"/>
      <c r="B105" s="572"/>
      <c r="C105" s="59" t="s">
        <v>95</v>
      </c>
      <c r="D105" s="44"/>
      <c r="E105" s="70">
        <v>0</v>
      </c>
      <c r="F105" s="70">
        <v>0</v>
      </c>
      <c r="G105" s="70">
        <v>0</v>
      </c>
      <c r="H105" s="71">
        <v>0</v>
      </c>
      <c r="I105" s="70">
        <v>0</v>
      </c>
      <c r="J105" s="70">
        <v>0</v>
      </c>
      <c r="K105" s="70">
        <v>0</v>
      </c>
      <c r="L105" s="70">
        <v>0</v>
      </c>
      <c r="M105" s="71">
        <f>SUM(E105:I105)</f>
        <v>0</v>
      </c>
    </row>
    <row r="106" spans="1:16" ht="83.1" customHeight="1" x14ac:dyDescent="0.3">
      <c r="A106" s="578"/>
      <c r="B106" s="572"/>
      <c r="C106" s="68" t="s">
        <v>96</v>
      </c>
      <c r="D106" s="117"/>
      <c r="E106" s="70">
        <v>0</v>
      </c>
      <c r="F106" s="70">
        <v>0</v>
      </c>
      <c r="G106" s="70">
        <v>0</v>
      </c>
      <c r="H106" s="70">
        <v>0</v>
      </c>
      <c r="I106" s="70">
        <v>0</v>
      </c>
      <c r="J106" s="70">
        <v>0</v>
      </c>
      <c r="K106" s="70">
        <v>0</v>
      </c>
      <c r="L106" s="70">
        <v>0</v>
      </c>
      <c r="M106" s="71">
        <v>0</v>
      </c>
    </row>
    <row r="107" spans="1:16" ht="83.1" customHeight="1" x14ac:dyDescent="0.3">
      <c r="A107" s="578"/>
      <c r="B107" s="572"/>
      <c r="C107" s="68" t="s">
        <v>97</v>
      </c>
      <c r="D107" s="117"/>
      <c r="E107" s="70">
        <v>0</v>
      </c>
      <c r="F107" s="70">
        <v>0</v>
      </c>
      <c r="G107" s="70">
        <v>0</v>
      </c>
      <c r="H107" s="70">
        <v>0</v>
      </c>
      <c r="I107" s="70">
        <v>0</v>
      </c>
      <c r="J107" s="70">
        <v>0</v>
      </c>
      <c r="K107" s="70">
        <v>0</v>
      </c>
      <c r="L107" s="70">
        <v>0</v>
      </c>
      <c r="M107" s="71">
        <v>0</v>
      </c>
    </row>
    <row r="108" spans="1:16" ht="57" customHeight="1" x14ac:dyDescent="0.3">
      <c r="A108" s="578"/>
      <c r="B108" s="572"/>
      <c r="C108" s="68" t="s">
        <v>98</v>
      </c>
      <c r="D108" s="117"/>
      <c r="E108" s="70">
        <v>0</v>
      </c>
      <c r="F108" s="70">
        <v>0</v>
      </c>
      <c r="G108" s="70">
        <v>0</v>
      </c>
      <c r="H108" s="70">
        <v>0</v>
      </c>
      <c r="I108" s="70">
        <v>0</v>
      </c>
      <c r="J108" s="70">
        <v>0</v>
      </c>
      <c r="K108" s="70">
        <v>0</v>
      </c>
      <c r="L108" s="70">
        <v>0</v>
      </c>
      <c r="M108" s="71">
        <v>0</v>
      </c>
    </row>
    <row r="109" spans="1:16" ht="27.95" customHeight="1" x14ac:dyDescent="0.3">
      <c r="A109" s="555" t="s">
        <v>128</v>
      </c>
      <c r="B109" s="565" t="s">
        <v>386</v>
      </c>
      <c r="C109" s="54" t="s">
        <v>27</v>
      </c>
      <c r="D109" s="44" t="s">
        <v>35</v>
      </c>
      <c r="E109" s="72">
        <v>0</v>
      </c>
      <c r="F109" s="72">
        <v>0</v>
      </c>
      <c r="G109" s="72">
        <f>SUM(G110:G115)</f>
        <v>188000</v>
      </c>
      <c r="H109" s="62">
        <f>H111+H112</f>
        <v>485076.18</v>
      </c>
      <c r="I109" s="89">
        <f>I111+I112</f>
        <v>545454.55000000005</v>
      </c>
      <c r="J109" s="72">
        <f>SUM(J110:J115)</f>
        <v>200000</v>
      </c>
      <c r="K109" s="62">
        <f>K111+K112</f>
        <v>200000</v>
      </c>
      <c r="L109" s="89">
        <f>L111+L112</f>
        <v>200000</v>
      </c>
      <c r="M109" s="85">
        <f>SUM(E109:L109)</f>
        <v>1818530.73</v>
      </c>
    </row>
    <row r="110" spans="1:16" ht="42" customHeight="1" x14ac:dyDescent="0.3">
      <c r="A110" s="555"/>
      <c r="B110" s="565"/>
      <c r="C110" s="60" t="s">
        <v>93</v>
      </c>
      <c r="D110" s="44"/>
      <c r="E110" s="70">
        <v>0</v>
      </c>
      <c r="F110" s="70">
        <v>0</v>
      </c>
      <c r="G110" s="70">
        <v>0</v>
      </c>
      <c r="H110" s="65">
        <v>0</v>
      </c>
      <c r="I110" s="90">
        <v>0</v>
      </c>
      <c r="J110" s="65">
        <v>0</v>
      </c>
      <c r="K110" s="90">
        <v>0</v>
      </c>
      <c r="L110" s="65">
        <v>0</v>
      </c>
      <c r="M110" s="71">
        <f>SUM(E110:I110)</f>
        <v>0</v>
      </c>
    </row>
    <row r="111" spans="1:16" ht="27.95" customHeight="1" x14ac:dyDescent="0.3">
      <c r="A111" s="555"/>
      <c r="B111" s="565"/>
      <c r="C111" s="60" t="s">
        <v>94</v>
      </c>
      <c r="D111" s="44" t="s">
        <v>35</v>
      </c>
      <c r="E111" s="70">
        <f>'Приложение 5'!H55</f>
        <v>0</v>
      </c>
      <c r="F111" s="70">
        <f>'Приложение 5'!I55</f>
        <v>0</v>
      </c>
      <c r="G111" s="78">
        <f>'Приложение 5'!J55</f>
        <v>94000</v>
      </c>
      <c r="H111" s="71">
        <f>'Приложение 5'!K56</f>
        <v>242538.09</v>
      </c>
      <c r="I111" s="70">
        <f>'Приложение 5'!L56</f>
        <v>300000</v>
      </c>
      <c r="J111" s="70">
        <f>'Приложение 5'!M56</f>
        <v>100000</v>
      </c>
      <c r="K111" s="71">
        <f>'Приложение 5'!N56</f>
        <v>100000</v>
      </c>
      <c r="L111" s="70">
        <f>'Приложение 5'!O56</f>
        <v>100000</v>
      </c>
      <c r="M111" s="81">
        <f>SUM(E111:L111)</f>
        <v>936538.09</v>
      </c>
    </row>
    <row r="112" spans="1:16" ht="57" customHeight="1" x14ac:dyDescent="0.3">
      <c r="A112" s="555"/>
      <c r="B112" s="565"/>
      <c r="C112" s="59" t="s">
        <v>95</v>
      </c>
      <c r="D112" s="44"/>
      <c r="E112" s="70">
        <v>0</v>
      </c>
      <c r="F112" s="70">
        <v>0</v>
      </c>
      <c r="G112" s="70">
        <f>G111</f>
        <v>94000</v>
      </c>
      <c r="H112" s="70">
        <f>H111</f>
        <v>242538.09</v>
      </c>
      <c r="I112" s="70">
        <f>I111*45/55</f>
        <v>245454.55</v>
      </c>
      <c r="J112" s="70">
        <f t="shared" ref="J112:L112" si="21">J111</f>
        <v>100000</v>
      </c>
      <c r="K112" s="70">
        <f t="shared" si="21"/>
        <v>100000</v>
      </c>
      <c r="L112" s="70">
        <f t="shared" si="21"/>
        <v>100000</v>
      </c>
      <c r="M112" s="71">
        <f>SUM(E112:L112)</f>
        <v>881992.64</v>
      </c>
    </row>
    <row r="113" spans="1:13" ht="83.1" customHeight="1" x14ac:dyDescent="0.3">
      <c r="A113" s="555"/>
      <c r="B113" s="565"/>
      <c r="C113" s="59" t="s">
        <v>96</v>
      </c>
      <c r="D113" s="44"/>
      <c r="E113" s="70">
        <v>0</v>
      </c>
      <c r="F113" s="70">
        <v>0</v>
      </c>
      <c r="G113" s="70">
        <v>0</v>
      </c>
      <c r="H113" s="65">
        <v>0</v>
      </c>
      <c r="I113" s="90">
        <v>0</v>
      </c>
      <c r="J113" s="90">
        <v>0</v>
      </c>
      <c r="K113" s="90">
        <v>0</v>
      </c>
      <c r="L113" s="90">
        <v>0</v>
      </c>
      <c r="M113" s="71">
        <v>0</v>
      </c>
    </row>
    <row r="114" spans="1:13" ht="83.1" customHeight="1" x14ac:dyDescent="0.3">
      <c r="A114" s="555"/>
      <c r="B114" s="565"/>
      <c r="C114" s="60" t="s">
        <v>97</v>
      </c>
      <c r="D114" s="44"/>
      <c r="E114" s="70">
        <v>0</v>
      </c>
      <c r="F114" s="70">
        <v>0</v>
      </c>
      <c r="G114" s="70">
        <v>0</v>
      </c>
      <c r="H114" s="65">
        <v>0</v>
      </c>
      <c r="I114" s="90">
        <v>0</v>
      </c>
      <c r="J114" s="90">
        <v>0</v>
      </c>
      <c r="K114" s="90">
        <v>0</v>
      </c>
      <c r="L114" s="90">
        <v>0</v>
      </c>
      <c r="M114" s="71">
        <v>0</v>
      </c>
    </row>
    <row r="115" spans="1:13" ht="57" customHeight="1" x14ac:dyDescent="0.3">
      <c r="A115" s="555"/>
      <c r="B115" s="565"/>
      <c r="C115" s="59" t="s">
        <v>98</v>
      </c>
      <c r="D115" s="44"/>
      <c r="E115" s="70">
        <v>0</v>
      </c>
      <c r="F115" s="70">
        <v>0</v>
      </c>
      <c r="G115" s="70">
        <v>0</v>
      </c>
      <c r="H115" s="65">
        <v>0</v>
      </c>
      <c r="I115" s="90">
        <v>0</v>
      </c>
      <c r="J115" s="90">
        <v>0</v>
      </c>
      <c r="K115" s="90">
        <v>0</v>
      </c>
      <c r="L115" s="90">
        <v>0</v>
      </c>
      <c r="M115" s="71">
        <v>0</v>
      </c>
    </row>
    <row r="116" spans="1:13" ht="27.95" customHeight="1" x14ac:dyDescent="0.3">
      <c r="A116" s="555" t="s">
        <v>129</v>
      </c>
      <c r="B116" s="565" t="s">
        <v>305</v>
      </c>
      <c r="C116" s="54" t="s">
        <v>27</v>
      </c>
      <c r="D116" s="44" t="s">
        <v>35</v>
      </c>
      <c r="E116" s="72">
        <v>0</v>
      </c>
      <c r="F116" s="72">
        <v>0</v>
      </c>
      <c r="G116" s="72">
        <f>SUM(G117:G122)</f>
        <v>54600</v>
      </c>
      <c r="H116" s="72">
        <v>0</v>
      </c>
      <c r="I116" s="72">
        <v>0</v>
      </c>
      <c r="J116" s="72">
        <v>0</v>
      </c>
      <c r="K116" s="72">
        <v>0</v>
      </c>
      <c r="L116" s="72">
        <v>0</v>
      </c>
      <c r="M116" s="85">
        <f>SUM(E116:I116)</f>
        <v>54600</v>
      </c>
    </row>
    <row r="117" spans="1:13" ht="42" customHeight="1" x14ac:dyDescent="0.3">
      <c r="A117" s="555"/>
      <c r="B117" s="565"/>
      <c r="C117" s="60" t="s">
        <v>93</v>
      </c>
      <c r="D117" s="44"/>
      <c r="E117" s="70">
        <v>0</v>
      </c>
      <c r="F117" s="70">
        <v>0</v>
      </c>
      <c r="G117" s="70">
        <v>0</v>
      </c>
      <c r="H117" s="70">
        <v>0</v>
      </c>
      <c r="I117" s="70">
        <v>0</v>
      </c>
      <c r="J117" s="70">
        <v>0</v>
      </c>
      <c r="K117" s="70">
        <v>0</v>
      </c>
      <c r="L117" s="70">
        <v>0</v>
      </c>
      <c r="M117" s="71">
        <f>SUM(E117:I117)</f>
        <v>0</v>
      </c>
    </row>
    <row r="118" spans="1:13" ht="27.95" customHeight="1" x14ac:dyDescent="0.3">
      <c r="A118" s="555"/>
      <c r="B118" s="565"/>
      <c r="C118" s="60" t="s">
        <v>94</v>
      </c>
      <c r="D118" s="44" t="s">
        <v>35</v>
      </c>
      <c r="E118" s="70">
        <f>'Приложение 5'!H57</f>
        <v>0</v>
      </c>
      <c r="F118" s="70">
        <f>'Приложение 5'!I57</f>
        <v>0</v>
      </c>
      <c r="G118" s="70">
        <f>'Приложение 5'!J57</f>
        <v>54600</v>
      </c>
      <c r="H118" s="70">
        <f>'Приложение 5'!K57</f>
        <v>0</v>
      </c>
      <c r="I118" s="70">
        <f>'Приложение 5'!L57</f>
        <v>0</v>
      </c>
      <c r="J118" s="70">
        <f>'Приложение 5'!M57</f>
        <v>0</v>
      </c>
      <c r="K118" s="70">
        <f>'Приложение 5'!N57</f>
        <v>0</v>
      </c>
      <c r="L118" s="70">
        <f>'Приложение 5'!O57</f>
        <v>0</v>
      </c>
      <c r="M118" s="81">
        <f>SUM(E118:I118)</f>
        <v>54600</v>
      </c>
    </row>
    <row r="119" spans="1:13" ht="57" customHeight="1" x14ac:dyDescent="0.3">
      <c r="A119" s="555"/>
      <c r="B119" s="565"/>
      <c r="C119" s="59" t="s">
        <v>95</v>
      </c>
      <c r="D119" s="44"/>
      <c r="E119" s="70">
        <v>0</v>
      </c>
      <c r="F119" s="70">
        <v>0</v>
      </c>
      <c r="G119" s="70">
        <v>0</v>
      </c>
      <c r="H119" s="70">
        <v>0</v>
      </c>
      <c r="I119" s="70">
        <v>0</v>
      </c>
      <c r="J119" s="70">
        <v>0</v>
      </c>
      <c r="K119" s="70">
        <v>0</v>
      </c>
      <c r="L119" s="70">
        <v>0</v>
      </c>
      <c r="M119" s="71">
        <f>SUM(E119:I119)</f>
        <v>0</v>
      </c>
    </row>
    <row r="120" spans="1:13" ht="83.1" customHeight="1" x14ac:dyDescent="0.3">
      <c r="A120" s="555"/>
      <c r="B120" s="565"/>
      <c r="C120" s="60" t="s">
        <v>96</v>
      </c>
      <c r="D120" s="44"/>
      <c r="E120" s="70">
        <v>0</v>
      </c>
      <c r="F120" s="70">
        <v>0</v>
      </c>
      <c r="G120" s="70">
        <v>0</v>
      </c>
      <c r="H120" s="70">
        <v>0</v>
      </c>
      <c r="I120" s="70">
        <v>0</v>
      </c>
      <c r="J120" s="70">
        <v>0</v>
      </c>
      <c r="K120" s="70">
        <v>0</v>
      </c>
      <c r="L120" s="70">
        <v>0</v>
      </c>
      <c r="M120" s="71">
        <v>0</v>
      </c>
    </row>
    <row r="121" spans="1:13" ht="83.1" customHeight="1" x14ac:dyDescent="0.3">
      <c r="A121" s="555"/>
      <c r="B121" s="565"/>
      <c r="C121" s="60" t="s">
        <v>97</v>
      </c>
      <c r="D121" s="44"/>
      <c r="E121" s="70">
        <v>0</v>
      </c>
      <c r="F121" s="70">
        <v>0</v>
      </c>
      <c r="G121" s="70">
        <v>0</v>
      </c>
      <c r="H121" s="70">
        <v>0</v>
      </c>
      <c r="I121" s="70">
        <v>0</v>
      </c>
      <c r="J121" s="70">
        <v>0</v>
      </c>
      <c r="K121" s="70">
        <v>0</v>
      </c>
      <c r="L121" s="70">
        <v>0</v>
      </c>
      <c r="M121" s="71">
        <v>0</v>
      </c>
    </row>
    <row r="122" spans="1:13" ht="57" customHeight="1" x14ac:dyDescent="0.3">
      <c r="A122" s="555"/>
      <c r="B122" s="565"/>
      <c r="C122" s="60" t="s">
        <v>98</v>
      </c>
      <c r="D122" s="44"/>
      <c r="E122" s="70">
        <v>0</v>
      </c>
      <c r="F122" s="70">
        <v>0</v>
      </c>
      <c r="G122" s="70">
        <v>0</v>
      </c>
      <c r="H122" s="70">
        <v>0</v>
      </c>
      <c r="I122" s="70">
        <v>0</v>
      </c>
      <c r="J122" s="70">
        <v>0</v>
      </c>
      <c r="K122" s="70">
        <v>0</v>
      </c>
      <c r="L122" s="70">
        <v>0</v>
      </c>
      <c r="M122" s="71">
        <v>0</v>
      </c>
    </row>
    <row r="123" spans="1:13" ht="27.95" customHeight="1" x14ac:dyDescent="0.3">
      <c r="A123" s="561" t="s">
        <v>340</v>
      </c>
      <c r="B123" s="571" t="s">
        <v>350</v>
      </c>
      <c r="C123" s="54" t="s">
        <v>27</v>
      </c>
      <c r="D123" s="44"/>
      <c r="E123" s="72">
        <f>SUM(E124:E129)</f>
        <v>0</v>
      </c>
      <c r="F123" s="72">
        <f t="shared" ref="F123:L123" si="22">SUM(F124:F129)</f>
        <v>0</v>
      </c>
      <c r="G123" s="72">
        <f t="shared" si="22"/>
        <v>0</v>
      </c>
      <c r="H123" s="72">
        <f t="shared" si="22"/>
        <v>2400</v>
      </c>
      <c r="I123" s="72">
        <f t="shared" si="22"/>
        <v>2400</v>
      </c>
      <c r="J123" s="72">
        <f t="shared" si="22"/>
        <v>0</v>
      </c>
      <c r="K123" s="72">
        <f t="shared" si="22"/>
        <v>0</v>
      </c>
      <c r="L123" s="72">
        <f t="shared" si="22"/>
        <v>0</v>
      </c>
      <c r="M123" s="85">
        <f>SUM(E123:L123)</f>
        <v>4800</v>
      </c>
    </row>
    <row r="124" spans="1:13" ht="42" customHeight="1" x14ac:dyDescent="0.3">
      <c r="A124" s="556"/>
      <c r="B124" s="572"/>
      <c r="C124" s="60" t="s">
        <v>93</v>
      </c>
      <c r="D124" s="44"/>
      <c r="E124" s="70">
        <v>0</v>
      </c>
      <c r="F124" s="70">
        <v>0</v>
      </c>
      <c r="G124" s="70">
        <v>0</v>
      </c>
      <c r="H124" s="70">
        <v>0</v>
      </c>
      <c r="I124" s="70">
        <v>0</v>
      </c>
      <c r="J124" s="70">
        <v>0</v>
      </c>
      <c r="K124" s="70">
        <v>0</v>
      </c>
      <c r="L124" s="70">
        <v>0</v>
      </c>
      <c r="M124" s="71">
        <f>SUM(E124:L124)</f>
        <v>0</v>
      </c>
    </row>
    <row r="125" spans="1:13" ht="27.95" customHeight="1" x14ac:dyDescent="0.3">
      <c r="A125" s="556"/>
      <c r="B125" s="572"/>
      <c r="C125" s="60" t="s">
        <v>94</v>
      </c>
      <c r="D125" s="44" t="s">
        <v>35</v>
      </c>
      <c r="E125" s="70">
        <v>0</v>
      </c>
      <c r="F125" s="70">
        <v>0</v>
      </c>
      <c r="G125" s="70">
        <v>0</v>
      </c>
      <c r="H125" s="70">
        <f>'Приложение 5'!K58</f>
        <v>2400</v>
      </c>
      <c r="I125" s="70">
        <f>'Приложение 5'!L58</f>
        <v>2400</v>
      </c>
      <c r="J125" s="70">
        <v>0</v>
      </c>
      <c r="K125" s="70">
        <v>0</v>
      </c>
      <c r="L125" s="70">
        <v>0</v>
      </c>
      <c r="M125" s="71">
        <f t="shared" ref="M125:M129" si="23">SUM(E125:L125)</f>
        <v>4800</v>
      </c>
    </row>
    <row r="126" spans="1:13" ht="57" customHeight="1" x14ac:dyDescent="0.3">
      <c r="A126" s="556"/>
      <c r="B126" s="572"/>
      <c r="C126" s="59" t="s">
        <v>95</v>
      </c>
      <c r="D126" s="44"/>
      <c r="E126" s="70">
        <v>0</v>
      </c>
      <c r="F126" s="70">
        <v>0</v>
      </c>
      <c r="G126" s="70">
        <v>0</v>
      </c>
      <c r="H126" s="70">
        <v>0</v>
      </c>
      <c r="I126" s="70">
        <v>0</v>
      </c>
      <c r="J126" s="70">
        <v>0</v>
      </c>
      <c r="K126" s="70">
        <v>0</v>
      </c>
      <c r="L126" s="70">
        <v>0</v>
      </c>
      <c r="M126" s="71">
        <f t="shared" si="23"/>
        <v>0</v>
      </c>
    </row>
    <row r="127" spans="1:13" ht="83.1" customHeight="1" x14ac:dyDescent="0.3">
      <c r="A127" s="556"/>
      <c r="B127" s="572"/>
      <c r="C127" s="60" t="s">
        <v>96</v>
      </c>
      <c r="D127" s="44"/>
      <c r="E127" s="70">
        <v>0</v>
      </c>
      <c r="F127" s="70">
        <v>0</v>
      </c>
      <c r="G127" s="70">
        <v>0</v>
      </c>
      <c r="H127" s="70">
        <v>0</v>
      </c>
      <c r="I127" s="70">
        <v>0</v>
      </c>
      <c r="J127" s="70">
        <v>0</v>
      </c>
      <c r="K127" s="70">
        <v>0</v>
      </c>
      <c r="L127" s="70">
        <v>0</v>
      </c>
      <c r="M127" s="71">
        <f t="shared" si="23"/>
        <v>0</v>
      </c>
    </row>
    <row r="128" spans="1:13" ht="83.1" customHeight="1" x14ac:dyDescent="0.3">
      <c r="A128" s="556"/>
      <c r="B128" s="572"/>
      <c r="C128" s="60" t="s">
        <v>97</v>
      </c>
      <c r="D128" s="44"/>
      <c r="E128" s="70">
        <v>0</v>
      </c>
      <c r="F128" s="70">
        <v>0</v>
      </c>
      <c r="G128" s="70">
        <v>0</v>
      </c>
      <c r="H128" s="70">
        <v>0</v>
      </c>
      <c r="I128" s="70">
        <v>0</v>
      </c>
      <c r="J128" s="70">
        <v>0</v>
      </c>
      <c r="K128" s="70">
        <v>0</v>
      </c>
      <c r="L128" s="70">
        <v>0</v>
      </c>
      <c r="M128" s="71">
        <f t="shared" si="23"/>
        <v>0</v>
      </c>
    </row>
    <row r="129" spans="1:13" ht="57" customHeight="1" x14ac:dyDescent="0.3">
      <c r="A129" s="557"/>
      <c r="B129" s="573"/>
      <c r="C129" s="60" t="s">
        <v>98</v>
      </c>
      <c r="D129" s="44"/>
      <c r="E129" s="70">
        <v>0</v>
      </c>
      <c r="F129" s="70">
        <v>0</v>
      </c>
      <c r="G129" s="70">
        <v>0</v>
      </c>
      <c r="H129" s="70">
        <v>0</v>
      </c>
      <c r="I129" s="70">
        <v>0</v>
      </c>
      <c r="J129" s="70">
        <v>0</v>
      </c>
      <c r="K129" s="70">
        <v>0</v>
      </c>
      <c r="L129" s="70">
        <v>0</v>
      </c>
      <c r="M129" s="71">
        <f t="shared" si="23"/>
        <v>0</v>
      </c>
    </row>
    <row r="130" spans="1:13" ht="27.95" customHeight="1" x14ac:dyDescent="0.3">
      <c r="A130" s="561" t="s">
        <v>130</v>
      </c>
      <c r="B130" s="571" t="s">
        <v>373</v>
      </c>
      <c r="C130" s="54" t="s">
        <v>27</v>
      </c>
      <c r="D130" s="44" t="s">
        <v>35</v>
      </c>
      <c r="E130" s="72">
        <f t="shared" ref="E130:L130" si="24">SUM(E131:E136)</f>
        <v>9793.76</v>
      </c>
      <c r="F130" s="72">
        <f t="shared" si="24"/>
        <v>14000</v>
      </c>
      <c r="G130" s="72">
        <f t="shared" si="24"/>
        <v>9449.07</v>
      </c>
      <c r="H130" s="85">
        <f t="shared" si="24"/>
        <v>2834.72</v>
      </c>
      <c r="I130" s="72">
        <f t="shared" si="24"/>
        <v>0</v>
      </c>
      <c r="J130" s="72">
        <f t="shared" si="24"/>
        <v>0</v>
      </c>
      <c r="K130" s="72">
        <f t="shared" si="24"/>
        <v>0</v>
      </c>
      <c r="L130" s="72">
        <f t="shared" si="24"/>
        <v>0</v>
      </c>
      <c r="M130" s="85">
        <f>SUM(E130:I130)</f>
        <v>36077.550000000003</v>
      </c>
    </row>
    <row r="131" spans="1:13" ht="48.75" customHeight="1" x14ac:dyDescent="0.3">
      <c r="A131" s="556"/>
      <c r="B131" s="572"/>
      <c r="C131" s="60" t="s">
        <v>93</v>
      </c>
      <c r="D131" s="44"/>
      <c r="E131" s="75">
        <v>0</v>
      </c>
      <c r="F131" s="84">
        <v>0</v>
      </c>
      <c r="G131" s="84">
        <v>0</v>
      </c>
      <c r="H131" s="78">
        <v>0</v>
      </c>
      <c r="I131" s="84">
        <v>0</v>
      </c>
      <c r="J131" s="78">
        <v>0</v>
      </c>
      <c r="K131" s="84">
        <v>0</v>
      </c>
      <c r="L131" s="78">
        <v>0</v>
      </c>
      <c r="M131" s="71">
        <f>SUM(E131:I131)</f>
        <v>0</v>
      </c>
    </row>
    <row r="132" spans="1:13" ht="36" customHeight="1" x14ac:dyDescent="0.3">
      <c r="A132" s="556"/>
      <c r="B132" s="572"/>
      <c r="C132" s="60" t="s">
        <v>94</v>
      </c>
      <c r="D132" s="44" t="s">
        <v>35</v>
      </c>
      <c r="E132" s="70">
        <f>'Приложение 5'!H60</f>
        <v>9793.76</v>
      </c>
      <c r="F132" s="70">
        <f>'Приложение 5'!I61</f>
        <v>14000</v>
      </c>
      <c r="G132" s="70">
        <f>'Приложение 5'!J61</f>
        <v>9449.07</v>
      </c>
      <c r="H132" s="71">
        <f>'Приложение 5'!K62</f>
        <v>2834.72</v>
      </c>
      <c r="I132" s="70">
        <f>'Приложение 5'!L62</f>
        <v>0</v>
      </c>
      <c r="J132" s="70">
        <f>'Приложение 5'!M62</f>
        <v>0</v>
      </c>
      <c r="K132" s="70">
        <f>'Приложение 5'!N62</f>
        <v>0</v>
      </c>
      <c r="L132" s="70">
        <f>'Приложение 5'!O62</f>
        <v>0</v>
      </c>
      <c r="M132" s="81">
        <f>SUM(E132:I132)</f>
        <v>36077.550000000003</v>
      </c>
    </row>
    <row r="133" spans="1:13" ht="64.5" customHeight="1" x14ac:dyDescent="0.3">
      <c r="A133" s="556"/>
      <c r="B133" s="572"/>
      <c r="C133" s="59" t="s">
        <v>95</v>
      </c>
      <c r="D133" s="44"/>
      <c r="E133" s="70">
        <v>0</v>
      </c>
      <c r="F133" s="70">
        <v>0</v>
      </c>
      <c r="G133" s="71">
        <v>0</v>
      </c>
      <c r="H133" s="71">
        <v>0</v>
      </c>
      <c r="I133" s="70">
        <v>0</v>
      </c>
      <c r="J133" s="70">
        <v>0</v>
      </c>
      <c r="K133" s="70">
        <v>0</v>
      </c>
      <c r="L133" s="70">
        <v>0</v>
      </c>
      <c r="M133" s="71">
        <f>SUM(E133:I133)</f>
        <v>0</v>
      </c>
    </row>
    <row r="134" spans="1:13" ht="83.1" customHeight="1" x14ac:dyDescent="0.3">
      <c r="A134" s="556"/>
      <c r="B134" s="572"/>
      <c r="C134" s="60" t="s">
        <v>96</v>
      </c>
      <c r="D134" s="44"/>
      <c r="E134" s="84">
        <v>0</v>
      </c>
      <c r="F134" s="84">
        <v>0</v>
      </c>
      <c r="G134" s="84">
        <v>0</v>
      </c>
      <c r="H134" s="78">
        <v>0</v>
      </c>
      <c r="I134" s="84">
        <v>0</v>
      </c>
      <c r="J134" s="84">
        <v>0</v>
      </c>
      <c r="K134" s="84">
        <v>0</v>
      </c>
      <c r="L134" s="84">
        <v>0</v>
      </c>
      <c r="M134" s="71">
        <v>0</v>
      </c>
    </row>
    <row r="135" spans="1:13" ht="83.1" customHeight="1" x14ac:dyDescent="0.3">
      <c r="A135" s="556"/>
      <c r="B135" s="572"/>
      <c r="C135" s="60" t="s">
        <v>97</v>
      </c>
      <c r="D135" s="44"/>
      <c r="E135" s="84">
        <v>0</v>
      </c>
      <c r="F135" s="84">
        <v>0</v>
      </c>
      <c r="G135" s="84">
        <v>0</v>
      </c>
      <c r="H135" s="71">
        <v>0</v>
      </c>
      <c r="I135" s="70">
        <v>0</v>
      </c>
      <c r="J135" s="70">
        <v>0</v>
      </c>
      <c r="K135" s="70">
        <v>0</v>
      </c>
      <c r="L135" s="70">
        <v>0</v>
      </c>
      <c r="M135" s="71">
        <v>0</v>
      </c>
    </row>
    <row r="136" spans="1:13" ht="57" customHeight="1" x14ac:dyDescent="0.3">
      <c r="A136" s="557"/>
      <c r="B136" s="573"/>
      <c r="C136" s="59" t="s">
        <v>98</v>
      </c>
      <c r="D136" s="44"/>
      <c r="E136" s="70">
        <v>0</v>
      </c>
      <c r="F136" s="70">
        <v>0</v>
      </c>
      <c r="G136" s="70">
        <v>0</v>
      </c>
      <c r="H136" s="71">
        <v>0</v>
      </c>
      <c r="I136" s="71">
        <v>0</v>
      </c>
      <c r="J136" s="70">
        <v>0</v>
      </c>
      <c r="K136" s="70">
        <v>0</v>
      </c>
      <c r="L136" s="70">
        <v>0</v>
      </c>
      <c r="M136" s="71">
        <v>0</v>
      </c>
    </row>
    <row r="137" spans="1:13" ht="27.95" customHeight="1" x14ac:dyDescent="0.3">
      <c r="A137" s="561" t="s">
        <v>337</v>
      </c>
      <c r="B137" s="571" t="s">
        <v>358</v>
      </c>
      <c r="C137" s="54" t="s">
        <v>27</v>
      </c>
      <c r="D137" s="44" t="s">
        <v>35</v>
      </c>
      <c r="E137" s="72">
        <f t="shared" ref="E137:L137" si="25">SUM(E138:E143)</f>
        <v>9793.76</v>
      </c>
      <c r="F137" s="72">
        <f t="shared" si="25"/>
        <v>14000</v>
      </c>
      <c r="G137" s="72">
        <f t="shared" si="25"/>
        <v>9449.07</v>
      </c>
      <c r="H137" s="85">
        <f t="shared" si="25"/>
        <v>2834.72</v>
      </c>
      <c r="I137" s="72">
        <f t="shared" si="25"/>
        <v>0</v>
      </c>
      <c r="J137" s="72">
        <f t="shared" si="25"/>
        <v>0</v>
      </c>
      <c r="K137" s="72">
        <f t="shared" si="25"/>
        <v>0</v>
      </c>
      <c r="L137" s="72">
        <f t="shared" si="25"/>
        <v>0</v>
      </c>
      <c r="M137" s="85">
        <f>SUM(E137:I137)</f>
        <v>36077.550000000003</v>
      </c>
    </row>
    <row r="138" spans="1:13" ht="42" customHeight="1" x14ac:dyDescent="0.3">
      <c r="A138" s="556"/>
      <c r="B138" s="572"/>
      <c r="C138" s="60" t="s">
        <v>93</v>
      </c>
      <c r="D138" s="44"/>
      <c r="E138" s="75">
        <v>0</v>
      </c>
      <c r="F138" s="84">
        <v>0</v>
      </c>
      <c r="G138" s="84">
        <v>0</v>
      </c>
      <c r="H138" s="78">
        <v>0</v>
      </c>
      <c r="I138" s="84">
        <v>0</v>
      </c>
      <c r="J138" s="78">
        <v>0</v>
      </c>
      <c r="K138" s="84">
        <v>0</v>
      </c>
      <c r="L138" s="78">
        <v>0</v>
      </c>
      <c r="M138" s="71">
        <f>SUM(E138:I138)</f>
        <v>0</v>
      </c>
    </row>
    <row r="139" spans="1:13" ht="27.95" customHeight="1" x14ac:dyDescent="0.3">
      <c r="A139" s="556"/>
      <c r="B139" s="572"/>
      <c r="C139" s="60" t="s">
        <v>94</v>
      </c>
      <c r="D139" s="44" t="s">
        <v>35</v>
      </c>
      <c r="E139" s="70">
        <f>'Приложение 5'!H63</f>
        <v>9793.76</v>
      </c>
      <c r="F139" s="70">
        <f>'Приложение 5'!I64</f>
        <v>14000</v>
      </c>
      <c r="G139" s="70">
        <f>'Приложение 5'!J64</f>
        <v>9449.07</v>
      </c>
      <c r="H139" s="70">
        <f>'Приложение 5'!K65</f>
        <v>2834.72</v>
      </c>
      <c r="I139" s="70">
        <f>'Приложение 5'!L69</f>
        <v>0</v>
      </c>
      <c r="J139" s="70">
        <f>'Приложение 5'!M69</f>
        <v>0</v>
      </c>
      <c r="K139" s="70">
        <f>'Приложение 5'!N69</f>
        <v>0</v>
      </c>
      <c r="L139" s="70">
        <f>'Приложение 5'!O69</f>
        <v>0</v>
      </c>
      <c r="M139" s="81">
        <f>SUM(E139:I139)</f>
        <v>36077.550000000003</v>
      </c>
    </row>
    <row r="140" spans="1:13" ht="57" customHeight="1" x14ac:dyDescent="0.3">
      <c r="A140" s="556"/>
      <c r="B140" s="572"/>
      <c r="C140" s="59" t="s">
        <v>95</v>
      </c>
      <c r="D140" s="44"/>
      <c r="E140" s="70">
        <v>0</v>
      </c>
      <c r="F140" s="70">
        <v>0</v>
      </c>
      <c r="G140" s="71">
        <v>0</v>
      </c>
      <c r="H140" s="71">
        <v>0</v>
      </c>
      <c r="I140" s="70">
        <v>0</v>
      </c>
      <c r="J140" s="70">
        <v>0</v>
      </c>
      <c r="K140" s="70">
        <v>0</v>
      </c>
      <c r="L140" s="70">
        <v>0</v>
      </c>
      <c r="M140" s="71">
        <f>SUM(E140:I140)</f>
        <v>0</v>
      </c>
    </row>
    <row r="141" spans="1:13" ht="83.1" customHeight="1" x14ac:dyDescent="0.3">
      <c r="A141" s="556"/>
      <c r="B141" s="572"/>
      <c r="C141" s="60" t="s">
        <v>96</v>
      </c>
      <c r="D141" s="44"/>
      <c r="E141" s="84">
        <v>0</v>
      </c>
      <c r="F141" s="84">
        <v>0</v>
      </c>
      <c r="G141" s="84">
        <v>0</v>
      </c>
      <c r="H141" s="78">
        <v>0</v>
      </c>
      <c r="I141" s="84">
        <v>0</v>
      </c>
      <c r="J141" s="84">
        <v>0</v>
      </c>
      <c r="K141" s="84">
        <v>0</v>
      </c>
      <c r="L141" s="84">
        <v>0</v>
      </c>
      <c r="M141" s="71">
        <v>0</v>
      </c>
    </row>
    <row r="142" spans="1:13" ht="83.1" customHeight="1" x14ac:dyDescent="0.3">
      <c r="A142" s="556"/>
      <c r="B142" s="572"/>
      <c r="C142" s="60" t="s">
        <v>97</v>
      </c>
      <c r="D142" s="44"/>
      <c r="E142" s="84">
        <v>0</v>
      </c>
      <c r="F142" s="84">
        <v>0</v>
      </c>
      <c r="G142" s="84">
        <v>0</v>
      </c>
      <c r="H142" s="71">
        <v>0</v>
      </c>
      <c r="I142" s="70">
        <v>0</v>
      </c>
      <c r="J142" s="70">
        <v>0</v>
      </c>
      <c r="K142" s="70">
        <v>0</v>
      </c>
      <c r="L142" s="70">
        <v>0</v>
      </c>
      <c r="M142" s="71">
        <v>0</v>
      </c>
    </row>
    <row r="143" spans="1:13" ht="57" customHeight="1" x14ac:dyDescent="0.3">
      <c r="A143" s="557"/>
      <c r="B143" s="572"/>
      <c r="C143" s="60" t="s">
        <v>98</v>
      </c>
      <c r="D143" s="44"/>
      <c r="E143" s="84">
        <v>0</v>
      </c>
      <c r="F143" s="84">
        <v>0</v>
      </c>
      <c r="G143" s="84">
        <v>0</v>
      </c>
      <c r="H143" s="71">
        <v>0</v>
      </c>
      <c r="I143" s="70">
        <v>0</v>
      </c>
      <c r="J143" s="70">
        <v>0</v>
      </c>
      <c r="K143" s="70">
        <v>0</v>
      </c>
      <c r="L143" s="70">
        <v>0</v>
      </c>
      <c r="M143" s="71">
        <v>0</v>
      </c>
    </row>
    <row r="144" spans="1:13" ht="27.95" customHeight="1" x14ac:dyDescent="0.3">
      <c r="A144" s="562" t="s">
        <v>24</v>
      </c>
      <c r="B144" s="606" t="s">
        <v>387</v>
      </c>
      <c r="C144" s="58" t="s">
        <v>27</v>
      </c>
      <c r="D144" s="106"/>
      <c r="E144" s="72">
        <f t="shared" ref="E144:M144" si="26">E146</f>
        <v>108467.24</v>
      </c>
      <c r="F144" s="72">
        <f t="shared" si="26"/>
        <v>20928.59</v>
      </c>
      <c r="G144" s="72">
        <f t="shared" si="26"/>
        <v>7827.83</v>
      </c>
      <c r="H144" s="73">
        <f t="shared" si="26"/>
        <v>0</v>
      </c>
      <c r="I144" s="74">
        <f t="shared" si="26"/>
        <v>0</v>
      </c>
      <c r="J144" s="72">
        <f t="shared" si="26"/>
        <v>0</v>
      </c>
      <c r="K144" s="72">
        <f t="shared" si="26"/>
        <v>0</v>
      </c>
      <c r="L144" s="72">
        <f t="shared" si="26"/>
        <v>0</v>
      </c>
      <c r="M144" s="85">
        <f t="shared" si="26"/>
        <v>137223.66</v>
      </c>
    </row>
    <row r="145" spans="1:13" ht="42" customHeight="1" x14ac:dyDescent="0.3">
      <c r="A145" s="563"/>
      <c r="B145" s="607"/>
      <c r="C145" s="67" t="s">
        <v>93</v>
      </c>
      <c r="D145" s="107"/>
      <c r="E145" s="75">
        <v>0</v>
      </c>
      <c r="F145" s="75">
        <v>0</v>
      </c>
      <c r="G145" s="75">
        <v>0</v>
      </c>
      <c r="H145" s="75">
        <v>0</v>
      </c>
      <c r="I145" s="75">
        <v>0</v>
      </c>
      <c r="J145" s="75">
        <v>0</v>
      </c>
      <c r="K145" s="75">
        <v>0</v>
      </c>
      <c r="L145" s="75">
        <v>0</v>
      </c>
      <c r="M145" s="91">
        <v>0</v>
      </c>
    </row>
    <row r="146" spans="1:13" ht="27.95" customHeight="1" x14ac:dyDescent="0.3">
      <c r="A146" s="563"/>
      <c r="B146" s="607"/>
      <c r="C146" s="67" t="s">
        <v>94</v>
      </c>
      <c r="D146" s="107"/>
      <c r="E146" s="75">
        <f>'Приложение 5'!H66</f>
        <v>108467.24</v>
      </c>
      <c r="F146" s="77">
        <f>'Приложение 5'!I66</f>
        <v>20928.59</v>
      </c>
      <c r="G146" s="77">
        <f>'Приложение 5'!J66</f>
        <v>7827.83</v>
      </c>
      <c r="H146" s="92">
        <f>'Приложение 5'!K66</f>
        <v>0</v>
      </c>
      <c r="I146" s="93">
        <f>'Приложение 5'!L66</f>
        <v>0</v>
      </c>
      <c r="J146" s="75">
        <f>'Приложение 5'!M66</f>
        <v>0</v>
      </c>
      <c r="K146" s="77">
        <f>'Приложение 5'!N66</f>
        <v>0</v>
      </c>
      <c r="L146" s="77">
        <f>'Приложение 5'!O66</f>
        <v>0</v>
      </c>
      <c r="M146" s="81">
        <f>SUM(E146:L146)</f>
        <v>137223.66</v>
      </c>
    </row>
    <row r="147" spans="1:13" ht="57" customHeight="1" x14ac:dyDescent="0.3">
      <c r="A147" s="563"/>
      <c r="B147" s="607"/>
      <c r="C147" s="67" t="s">
        <v>95</v>
      </c>
      <c r="D147" s="107"/>
      <c r="E147" s="75">
        <v>0</v>
      </c>
      <c r="F147" s="75">
        <v>0</v>
      </c>
      <c r="G147" s="75">
        <v>0</v>
      </c>
      <c r="H147" s="75">
        <v>0</v>
      </c>
      <c r="I147" s="75">
        <v>0</v>
      </c>
      <c r="J147" s="75">
        <v>0</v>
      </c>
      <c r="K147" s="75">
        <v>0</v>
      </c>
      <c r="L147" s="75">
        <v>0</v>
      </c>
      <c r="M147" s="71">
        <f>SUM(E147:I147)</f>
        <v>0</v>
      </c>
    </row>
    <row r="148" spans="1:13" ht="83.1" customHeight="1" x14ac:dyDescent="0.3">
      <c r="A148" s="563"/>
      <c r="B148" s="607"/>
      <c r="C148" s="67" t="s">
        <v>96</v>
      </c>
      <c r="D148" s="107"/>
      <c r="E148" s="75">
        <v>0</v>
      </c>
      <c r="F148" s="75">
        <v>0</v>
      </c>
      <c r="G148" s="75">
        <v>0</v>
      </c>
      <c r="H148" s="75">
        <v>0</v>
      </c>
      <c r="I148" s="75">
        <v>0</v>
      </c>
      <c r="J148" s="75">
        <v>0</v>
      </c>
      <c r="K148" s="75">
        <v>0</v>
      </c>
      <c r="L148" s="75">
        <v>0</v>
      </c>
      <c r="M148" s="92">
        <v>0</v>
      </c>
    </row>
    <row r="149" spans="1:13" ht="83.1" customHeight="1" x14ac:dyDescent="0.3">
      <c r="A149" s="563"/>
      <c r="B149" s="607"/>
      <c r="C149" s="67" t="s">
        <v>97</v>
      </c>
      <c r="D149" s="107"/>
      <c r="E149" s="75">
        <v>0</v>
      </c>
      <c r="F149" s="77">
        <v>0</v>
      </c>
      <c r="G149" s="77">
        <v>0</v>
      </c>
      <c r="H149" s="92">
        <v>0</v>
      </c>
      <c r="I149" s="93">
        <v>0</v>
      </c>
      <c r="J149" s="92">
        <v>0</v>
      </c>
      <c r="K149" s="93">
        <v>0</v>
      </c>
      <c r="L149" s="92">
        <v>0</v>
      </c>
      <c r="M149" s="92">
        <v>0</v>
      </c>
    </row>
    <row r="150" spans="1:13" ht="57" customHeight="1" x14ac:dyDescent="0.3">
      <c r="A150" s="564"/>
      <c r="B150" s="608"/>
      <c r="C150" s="67" t="s">
        <v>98</v>
      </c>
      <c r="D150" s="107"/>
      <c r="E150" s="75">
        <v>0</v>
      </c>
      <c r="F150" s="75">
        <v>0</v>
      </c>
      <c r="G150" s="75">
        <v>0</v>
      </c>
      <c r="H150" s="75">
        <v>0</v>
      </c>
      <c r="I150" s="75">
        <v>0</v>
      </c>
      <c r="J150" s="75">
        <v>0</v>
      </c>
      <c r="K150" s="75">
        <v>0</v>
      </c>
      <c r="L150" s="75">
        <v>0</v>
      </c>
      <c r="M150" s="91">
        <v>0</v>
      </c>
    </row>
    <row r="151" spans="1:13" ht="27.95" customHeight="1" x14ac:dyDescent="0.3">
      <c r="A151" s="562" t="s">
        <v>0</v>
      </c>
      <c r="B151" s="558" t="s">
        <v>374</v>
      </c>
      <c r="C151" s="58" t="s">
        <v>27</v>
      </c>
      <c r="D151" s="107"/>
      <c r="E151" s="94">
        <f t="shared" ref="E151:M151" si="27">E153</f>
        <v>105467.24</v>
      </c>
      <c r="F151" s="95">
        <f t="shared" si="27"/>
        <v>17228.59</v>
      </c>
      <c r="G151" s="95">
        <f t="shared" si="27"/>
        <v>6172.35</v>
      </c>
      <c r="H151" s="96">
        <f t="shared" si="27"/>
        <v>0</v>
      </c>
      <c r="I151" s="97">
        <f t="shared" si="27"/>
        <v>0</v>
      </c>
      <c r="J151" s="97">
        <f t="shared" si="27"/>
        <v>0</v>
      </c>
      <c r="K151" s="97">
        <f t="shared" si="27"/>
        <v>0</v>
      </c>
      <c r="L151" s="97">
        <f t="shared" si="27"/>
        <v>0</v>
      </c>
      <c r="M151" s="96">
        <f t="shared" si="27"/>
        <v>128868.18</v>
      </c>
    </row>
    <row r="152" spans="1:13" ht="42" customHeight="1" x14ac:dyDescent="0.3">
      <c r="A152" s="563"/>
      <c r="B152" s="559"/>
      <c r="C152" s="67" t="s">
        <v>93</v>
      </c>
      <c r="D152" s="107"/>
      <c r="E152" s="75">
        <v>0</v>
      </c>
      <c r="F152" s="75">
        <v>0</v>
      </c>
      <c r="G152" s="75">
        <v>0</v>
      </c>
      <c r="H152" s="75">
        <v>0</v>
      </c>
      <c r="I152" s="75">
        <v>0</v>
      </c>
      <c r="J152" s="75">
        <v>0</v>
      </c>
      <c r="K152" s="75">
        <v>0</v>
      </c>
      <c r="L152" s="75">
        <v>0</v>
      </c>
      <c r="M152" s="91">
        <v>0</v>
      </c>
    </row>
    <row r="153" spans="1:13" ht="27.95" customHeight="1" x14ac:dyDescent="0.3">
      <c r="A153" s="563"/>
      <c r="B153" s="559"/>
      <c r="C153" s="67" t="s">
        <v>94</v>
      </c>
      <c r="D153" s="107"/>
      <c r="E153" s="75">
        <f>'Приложение 5'!H72+'Приложение 5'!H74</f>
        <v>105467.24</v>
      </c>
      <c r="F153" s="75">
        <f>'Приложение 5'!I72+'Приложение 5'!I74</f>
        <v>17228.59</v>
      </c>
      <c r="G153" s="75">
        <f>'Приложение 5'!J72+'Приложение 5'!J74</f>
        <v>6172.35</v>
      </c>
      <c r="H153" s="92">
        <f>'Приложение 5'!K71</f>
        <v>0</v>
      </c>
      <c r="I153" s="93">
        <f>'Приложение 5'!L71</f>
        <v>0</v>
      </c>
      <c r="J153" s="93">
        <f>'Приложение 5'!M71</f>
        <v>0</v>
      </c>
      <c r="K153" s="93">
        <f>'Приложение 5'!N71</f>
        <v>0</v>
      </c>
      <c r="L153" s="93">
        <f>'Приложение 5'!O71</f>
        <v>0</v>
      </c>
      <c r="M153" s="92">
        <f>'Приложение 5'!P71</f>
        <v>128868.18</v>
      </c>
    </row>
    <row r="154" spans="1:13" ht="57" customHeight="1" x14ac:dyDescent="0.3">
      <c r="A154" s="563"/>
      <c r="B154" s="559"/>
      <c r="C154" s="67" t="s">
        <v>95</v>
      </c>
      <c r="D154" s="107"/>
      <c r="E154" s="75">
        <v>0</v>
      </c>
      <c r="F154" s="75">
        <v>0</v>
      </c>
      <c r="G154" s="75">
        <v>0</v>
      </c>
      <c r="H154" s="75">
        <v>0</v>
      </c>
      <c r="I154" s="75">
        <v>0</v>
      </c>
      <c r="J154" s="75">
        <v>0</v>
      </c>
      <c r="K154" s="75">
        <v>0</v>
      </c>
      <c r="L154" s="75">
        <v>0</v>
      </c>
      <c r="M154" s="91">
        <v>0</v>
      </c>
    </row>
    <row r="155" spans="1:13" ht="83.1" customHeight="1" x14ac:dyDescent="0.3">
      <c r="A155" s="563"/>
      <c r="B155" s="559"/>
      <c r="C155" s="67" t="s">
        <v>96</v>
      </c>
      <c r="D155" s="107"/>
      <c r="E155" s="75">
        <v>0</v>
      </c>
      <c r="F155" s="75">
        <v>0</v>
      </c>
      <c r="G155" s="75">
        <v>0</v>
      </c>
      <c r="H155" s="75">
        <v>0</v>
      </c>
      <c r="I155" s="75">
        <v>0</v>
      </c>
      <c r="J155" s="75">
        <v>0</v>
      </c>
      <c r="K155" s="75">
        <v>0</v>
      </c>
      <c r="L155" s="75">
        <v>0</v>
      </c>
      <c r="M155" s="91">
        <v>0</v>
      </c>
    </row>
    <row r="156" spans="1:13" ht="83.1" customHeight="1" x14ac:dyDescent="0.3">
      <c r="A156" s="563"/>
      <c r="B156" s="559"/>
      <c r="C156" s="67" t="s">
        <v>97</v>
      </c>
      <c r="D156" s="107"/>
      <c r="E156" s="75">
        <v>0</v>
      </c>
      <c r="F156" s="75">
        <v>0</v>
      </c>
      <c r="G156" s="75">
        <v>0</v>
      </c>
      <c r="H156" s="75">
        <v>0</v>
      </c>
      <c r="I156" s="75">
        <v>0</v>
      </c>
      <c r="J156" s="75">
        <v>0</v>
      </c>
      <c r="K156" s="75">
        <v>0</v>
      </c>
      <c r="L156" s="75">
        <v>0</v>
      </c>
      <c r="M156" s="91">
        <v>0</v>
      </c>
    </row>
    <row r="157" spans="1:13" ht="57" customHeight="1" x14ac:dyDescent="0.3">
      <c r="A157" s="564"/>
      <c r="B157" s="560"/>
      <c r="C157" s="67" t="s">
        <v>98</v>
      </c>
      <c r="D157" s="107"/>
      <c r="E157" s="75">
        <v>0</v>
      </c>
      <c r="F157" s="75">
        <v>0</v>
      </c>
      <c r="G157" s="75">
        <v>0</v>
      </c>
      <c r="H157" s="75">
        <v>0</v>
      </c>
      <c r="I157" s="75">
        <v>0</v>
      </c>
      <c r="J157" s="75">
        <v>0</v>
      </c>
      <c r="K157" s="75">
        <v>0</v>
      </c>
      <c r="L157" s="75">
        <v>0</v>
      </c>
      <c r="M157" s="91">
        <v>0</v>
      </c>
    </row>
    <row r="158" spans="1:13" ht="27.95" customHeight="1" x14ac:dyDescent="0.3">
      <c r="A158" s="555" t="s">
        <v>180</v>
      </c>
      <c r="B158" s="565" t="s">
        <v>58</v>
      </c>
      <c r="C158" s="54" t="s">
        <v>27</v>
      </c>
      <c r="D158" s="45" t="s">
        <v>35</v>
      </c>
      <c r="E158" s="72">
        <f t="shared" ref="E158:L158" si="28">SUM(E159:E164)</f>
        <v>75867.240000000005</v>
      </c>
      <c r="F158" s="85">
        <f t="shared" si="28"/>
        <v>9308.89</v>
      </c>
      <c r="G158" s="85">
        <f t="shared" si="28"/>
        <v>4418.91</v>
      </c>
      <c r="H158" s="85">
        <f t="shared" si="28"/>
        <v>0</v>
      </c>
      <c r="I158" s="72">
        <f t="shared" si="28"/>
        <v>0</v>
      </c>
      <c r="J158" s="72">
        <f t="shared" si="28"/>
        <v>0</v>
      </c>
      <c r="K158" s="85">
        <f t="shared" si="28"/>
        <v>0</v>
      </c>
      <c r="L158" s="85">
        <f t="shared" si="28"/>
        <v>0</v>
      </c>
      <c r="M158" s="85">
        <f>SUM(E158:I158)</f>
        <v>89595.04</v>
      </c>
    </row>
    <row r="159" spans="1:13" ht="42" customHeight="1" x14ac:dyDescent="0.3">
      <c r="A159" s="555"/>
      <c r="B159" s="565"/>
      <c r="C159" s="60" t="s">
        <v>93</v>
      </c>
      <c r="D159" s="44"/>
      <c r="E159" s="75">
        <v>0</v>
      </c>
      <c r="F159" s="71">
        <v>0</v>
      </c>
      <c r="G159" s="71">
        <v>0</v>
      </c>
      <c r="H159" s="71">
        <v>0</v>
      </c>
      <c r="I159" s="70">
        <v>0</v>
      </c>
      <c r="J159" s="71">
        <v>0</v>
      </c>
      <c r="K159" s="70">
        <v>0</v>
      </c>
      <c r="L159" s="71">
        <v>0</v>
      </c>
      <c r="M159" s="71">
        <f>SUM(E159:I159)</f>
        <v>0</v>
      </c>
    </row>
    <row r="160" spans="1:13" ht="27.95" customHeight="1" x14ac:dyDescent="0.3">
      <c r="A160" s="555"/>
      <c r="B160" s="565"/>
      <c r="C160" s="60" t="s">
        <v>94</v>
      </c>
      <c r="D160" s="44" t="s">
        <v>35</v>
      </c>
      <c r="E160" s="70">
        <f>'Приложение 5'!H75</f>
        <v>75867.240000000005</v>
      </c>
      <c r="F160" s="70">
        <f>'Приложение 5'!I75</f>
        <v>9308.89</v>
      </c>
      <c r="G160" s="70">
        <f>'Приложение 5'!J75</f>
        <v>4418.91</v>
      </c>
      <c r="H160" s="70">
        <f>'Приложение 5'!K75</f>
        <v>0</v>
      </c>
      <c r="I160" s="70">
        <f>'Приложение 5'!L75</f>
        <v>0</v>
      </c>
      <c r="J160" s="70">
        <f>'Приложение 5'!M75</f>
        <v>0</v>
      </c>
      <c r="K160" s="70">
        <f>'Приложение 5'!N75</f>
        <v>0</v>
      </c>
      <c r="L160" s="70">
        <f>'Приложение 5'!O75</f>
        <v>0</v>
      </c>
      <c r="M160" s="81">
        <f>SUM(E160:I160)</f>
        <v>89595.04</v>
      </c>
    </row>
    <row r="161" spans="1:13" ht="57" customHeight="1" x14ac:dyDescent="0.3">
      <c r="A161" s="555"/>
      <c r="B161" s="565"/>
      <c r="C161" s="59" t="s">
        <v>95</v>
      </c>
      <c r="D161" s="44"/>
      <c r="E161" s="70">
        <v>0</v>
      </c>
      <c r="F161" s="71">
        <v>0</v>
      </c>
      <c r="G161" s="71">
        <v>0</v>
      </c>
      <c r="H161" s="71">
        <v>0</v>
      </c>
      <c r="I161" s="70">
        <v>0</v>
      </c>
      <c r="J161" s="70">
        <v>0</v>
      </c>
      <c r="K161" s="70">
        <v>0</v>
      </c>
      <c r="L161" s="70">
        <v>0</v>
      </c>
      <c r="M161" s="71">
        <f>SUM(E161:I161)</f>
        <v>0</v>
      </c>
    </row>
    <row r="162" spans="1:13" ht="83.1" customHeight="1" x14ac:dyDescent="0.3">
      <c r="A162" s="555"/>
      <c r="B162" s="565"/>
      <c r="C162" s="60" t="s">
        <v>96</v>
      </c>
      <c r="D162" s="44"/>
      <c r="E162" s="71">
        <v>0</v>
      </c>
      <c r="F162" s="71">
        <v>0</v>
      </c>
      <c r="G162" s="71">
        <v>0</v>
      </c>
      <c r="H162" s="71">
        <v>0</v>
      </c>
      <c r="I162" s="70">
        <v>0</v>
      </c>
      <c r="J162" s="70">
        <v>0</v>
      </c>
      <c r="K162" s="70">
        <v>0</v>
      </c>
      <c r="L162" s="70">
        <v>0</v>
      </c>
      <c r="M162" s="71">
        <v>0</v>
      </c>
    </row>
    <row r="163" spans="1:13" ht="83.1" customHeight="1" x14ac:dyDescent="0.3">
      <c r="A163" s="555"/>
      <c r="B163" s="565"/>
      <c r="C163" s="59" t="s">
        <v>97</v>
      </c>
      <c r="D163" s="44"/>
      <c r="E163" s="71">
        <v>0</v>
      </c>
      <c r="F163" s="71">
        <v>0</v>
      </c>
      <c r="G163" s="71">
        <v>0</v>
      </c>
      <c r="H163" s="71">
        <v>0</v>
      </c>
      <c r="I163" s="70">
        <v>0</v>
      </c>
      <c r="J163" s="70">
        <v>0</v>
      </c>
      <c r="K163" s="70">
        <v>0</v>
      </c>
      <c r="L163" s="70">
        <v>0</v>
      </c>
      <c r="M163" s="71">
        <v>0</v>
      </c>
    </row>
    <row r="164" spans="1:13" ht="52.5" customHeight="1" x14ac:dyDescent="0.3">
      <c r="A164" s="555"/>
      <c r="B164" s="565"/>
      <c r="C164" s="59" t="s">
        <v>98</v>
      </c>
      <c r="D164" s="44"/>
      <c r="E164" s="71">
        <v>0</v>
      </c>
      <c r="F164" s="71">
        <v>0</v>
      </c>
      <c r="G164" s="71">
        <v>0</v>
      </c>
      <c r="H164" s="71">
        <v>0</v>
      </c>
      <c r="I164" s="70">
        <v>0</v>
      </c>
      <c r="J164" s="70">
        <v>0</v>
      </c>
      <c r="K164" s="70">
        <v>0</v>
      </c>
      <c r="L164" s="70">
        <v>0</v>
      </c>
      <c r="M164" s="71">
        <v>0</v>
      </c>
    </row>
    <row r="165" spans="1:13" ht="27.95" customHeight="1" x14ac:dyDescent="0.3">
      <c r="A165" s="561" t="s">
        <v>198</v>
      </c>
      <c r="B165" s="565" t="s">
        <v>58</v>
      </c>
      <c r="C165" s="54" t="s">
        <v>27</v>
      </c>
      <c r="D165" s="45" t="s">
        <v>35</v>
      </c>
      <c r="E165" s="72">
        <f>SUM(E166:E171)</f>
        <v>75867.240000000005</v>
      </c>
      <c r="F165" s="85">
        <f>SUM(F166:F171)</f>
        <v>9308.89</v>
      </c>
      <c r="G165" s="85">
        <f>SUM(G166:G171)</f>
        <v>3577.59</v>
      </c>
      <c r="H165" s="85">
        <v>0</v>
      </c>
      <c r="I165" s="72">
        <v>0</v>
      </c>
      <c r="J165" s="72">
        <f>SUM(J166:J171)</f>
        <v>0</v>
      </c>
      <c r="K165" s="85">
        <f>SUM(K166:K171)</f>
        <v>0</v>
      </c>
      <c r="L165" s="85">
        <f>SUM(L166:L171)</f>
        <v>0</v>
      </c>
      <c r="M165" s="85">
        <f>SUM(E165:L165)</f>
        <v>88753.72</v>
      </c>
    </row>
    <row r="166" spans="1:13" ht="42" customHeight="1" x14ac:dyDescent="0.3">
      <c r="A166" s="556"/>
      <c r="B166" s="565"/>
      <c r="C166" s="60" t="s">
        <v>93</v>
      </c>
      <c r="D166" s="44"/>
      <c r="E166" s="75">
        <v>0</v>
      </c>
      <c r="F166" s="71">
        <v>0</v>
      </c>
      <c r="G166" s="71">
        <v>0</v>
      </c>
      <c r="H166" s="71">
        <v>0</v>
      </c>
      <c r="I166" s="70">
        <v>0</v>
      </c>
      <c r="J166" s="71">
        <v>0</v>
      </c>
      <c r="K166" s="70">
        <v>0</v>
      </c>
      <c r="L166" s="71">
        <v>0</v>
      </c>
      <c r="M166" s="71">
        <f>SUM(E166:I166)</f>
        <v>0</v>
      </c>
    </row>
    <row r="167" spans="1:13" ht="23.25" customHeight="1" x14ac:dyDescent="0.3">
      <c r="A167" s="556"/>
      <c r="B167" s="565"/>
      <c r="C167" s="60" t="s">
        <v>94</v>
      </c>
      <c r="D167" s="44" t="s">
        <v>35</v>
      </c>
      <c r="E167" s="70">
        <f>'Приложение 5'!$H$76</f>
        <v>75867.240000000005</v>
      </c>
      <c r="F167" s="71">
        <f>'Приложение 5'!$I$77</f>
        <v>9308.89</v>
      </c>
      <c r="G167" s="71">
        <f>'Приложение 5'!$J$77</f>
        <v>3577.59</v>
      </c>
      <c r="H167" s="71">
        <f>'Приложение 5'!$K$78</f>
        <v>0</v>
      </c>
      <c r="I167" s="70">
        <f>'Приложение 5'!$L$78</f>
        <v>0</v>
      </c>
      <c r="J167" s="70">
        <f>'Приложение 5'!$H$78</f>
        <v>0</v>
      </c>
      <c r="K167" s="71">
        <f>'Приложение 5'!$I$78</f>
        <v>0</v>
      </c>
      <c r="L167" s="71">
        <f>'Приложение 5'!$J$78</f>
        <v>0</v>
      </c>
      <c r="M167" s="71">
        <f>SUM(E167:L167)</f>
        <v>88753.72</v>
      </c>
    </row>
    <row r="168" spans="1:13" ht="54" customHeight="1" x14ac:dyDescent="0.3">
      <c r="A168" s="556"/>
      <c r="B168" s="565"/>
      <c r="C168" s="59" t="s">
        <v>95</v>
      </c>
      <c r="D168" s="44"/>
      <c r="E168" s="70">
        <v>0</v>
      </c>
      <c r="F168" s="71">
        <v>0</v>
      </c>
      <c r="G168" s="71">
        <v>0</v>
      </c>
      <c r="H168" s="71">
        <v>0</v>
      </c>
      <c r="I168" s="70">
        <v>0</v>
      </c>
      <c r="J168" s="70">
        <v>0</v>
      </c>
      <c r="K168" s="70">
        <v>0</v>
      </c>
      <c r="L168" s="70">
        <v>0</v>
      </c>
      <c r="M168" s="71">
        <f>SUM(E168:I168)</f>
        <v>0</v>
      </c>
    </row>
    <row r="169" spans="1:13" ht="83.1" customHeight="1" x14ac:dyDescent="0.3">
      <c r="A169" s="556"/>
      <c r="B169" s="565"/>
      <c r="C169" s="60" t="s">
        <v>96</v>
      </c>
      <c r="D169" s="44"/>
      <c r="E169" s="71">
        <v>0</v>
      </c>
      <c r="F169" s="71">
        <v>0</v>
      </c>
      <c r="G169" s="71">
        <v>0</v>
      </c>
      <c r="H169" s="71">
        <v>0</v>
      </c>
      <c r="I169" s="70">
        <v>0</v>
      </c>
      <c r="J169" s="70">
        <v>0</v>
      </c>
      <c r="K169" s="70">
        <v>0</v>
      </c>
      <c r="L169" s="70">
        <v>0</v>
      </c>
      <c r="M169" s="71">
        <v>0</v>
      </c>
    </row>
    <row r="170" spans="1:13" ht="77.25" customHeight="1" x14ac:dyDescent="0.3">
      <c r="A170" s="556"/>
      <c r="B170" s="565"/>
      <c r="C170" s="60" t="s">
        <v>97</v>
      </c>
      <c r="D170" s="44"/>
      <c r="E170" s="71">
        <v>0</v>
      </c>
      <c r="F170" s="71">
        <v>0</v>
      </c>
      <c r="G170" s="71">
        <v>0</v>
      </c>
      <c r="H170" s="71">
        <v>0</v>
      </c>
      <c r="I170" s="70">
        <v>0</v>
      </c>
      <c r="J170" s="70">
        <v>0</v>
      </c>
      <c r="K170" s="70">
        <v>0</v>
      </c>
      <c r="L170" s="70">
        <v>0</v>
      </c>
      <c r="M170" s="71">
        <v>0</v>
      </c>
    </row>
    <row r="171" spans="1:13" ht="54" customHeight="1" x14ac:dyDescent="0.3">
      <c r="A171" s="557"/>
      <c r="B171" s="565"/>
      <c r="C171" s="59" t="s">
        <v>98</v>
      </c>
      <c r="D171" s="44"/>
      <c r="E171" s="71">
        <v>0</v>
      </c>
      <c r="F171" s="71">
        <v>0</v>
      </c>
      <c r="G171" s="71">
        <v>0</v>
      </c>
      <c r="H171" s="71">
        <v>0</v>
      </c>
      <c r="I171" s="70">
        <v>0</v>
      </c>
      <c r="J171" s="70">
        <v>0</v>
      </c>
      <c r="K171" s="70">
        <v>0</v>
      </c>
      <c r="L171" s="70">
        <v>0</v>
      </c>
      <c r="M171" s="71">
        <v>0</v>
      </c>
    </row>
    <row r="172" spans="1:13" ht="27.95" customHeight="1" x14ac:dyDescent="0.3">
      <c r="A172" s="561" t="s">
        <v>199</v>
      </c>
      <c r="B172" s="571" t="s">
        <v>182</v>
      </c>
      <c r="C172" s="54" t="s">
        <v>27</v>
      </c>
      <c r="D172" s="45" t="s">
        <v>35</v>
      </c>
      <c r="E172" s="72">
        <v>0</v>
      </c>
      <c r="F172" s="72">
        <v>0</v>
      </c>
      <c r="G172" s="85">
        <f>SUM(G173:G178)</f>
        <v>841.32</v>
      </c>
      <c r="H172" s="85">
        <v>0</v>
      </c>
      <c r="I172" s="72">
        <v>0</v>
      </c>
      <c r="J172" s="85">
        <f>SUM(J173:J178)</f>
        <v>0</v>
      </c>
      <c r="K172" s="85">
        <v>0</v>
      </c>
      <c r="L172" s="72">
        <v>0</v>
      </c>
      <c r="M172" s="85">
        <f>SUM(E172:I172)</f>
        <v>841.32</v>
      </c>
    </row>
    <row r="173" spans="1:13" ht="42" customHeight="1" x14ac:dyDescent="0.3">
      <c r="A173" s="556"/>
      <c r="B173" s="572"/>
      <c r="C173" s="60" t="s">
        <v>93</v>
      </c>
      <c r="D173" s="44"/>
      <c r="E173" s="70">
        <v>0</v>
      </c>
      <c r="F173" s="70">
        <v>0</v>
      </c>
      <c r="G173" s="70">
        <v>0</v>
      </c>
      <c r="H173" s="70">
        <v>0</v>
      </c>
      <c r="I173" s="70">
        <v>0</v>
      </c>
      <c r="J173" s="70">
        <v>0</v>
      </c>
      <c r="K173" s="70">
        <v>0</v>
      </c>
      <c r="L173" s="70">
        <v>0</v>
      </c>
      <c r="M173" s="71">
        <v>0</v>
      </c>
    </row>
    <row r="174" spans="1:13" ht="27.95" customHeight="1" x14ac:dyDescent="0.3">
      <c r="A174" s="556"/>
      <c r="B174" s="572"/>
      <c r="C174" s="60" t="s">
        <v>94</v>
      </c>
      <c r="D174" s="44" t="s">
        <v>35</v>
      </c>
      <c r="E174" s="70">
        <v>0</v>
      </c>
      <c r="F174" s="71">
        <f>'Приложение 5'!I79</f>
        <v>0</v>
      </c>
      <c r="G174" s="71">
        <f>'Приложение 5'!J79</f>
        <v>841.32</v>
      </c>
      <c r="H174" s="71">
        <f>'Приложение 5'!K80</f>
        <v>0</v>
      </c>
      <c r="I174" s="71">
        <f>'Приложение 5'!L80</f>
        <v>0</v>
      </c>
      <c r="J174" s="71">
        <f>'Приложение 5'!M80</f>
        <v>0</v>
      </c>
      <c r="K174" s="71">
        <f>'Приложение 5'!N80</f>
        <v>0</v>
      </c>
      <c r="L174" s="71">
        <f>'Приложение 5'!O80</f>
        <v>0</v>
      </c>
      <c r="M174" s="71">
        <f>SUM(E174:I174)</f>
        <v>841.32</v>
      </c>
    </row>
    <row r="175" spans="1:13" ht="57" customHeight="1" x14ac:dyDescent="0.3">
      <c r="A175" s="556"/>
      <c r="B175" s="572"/>
      <c r="C175" s="59" t="s">
        <v>95</v>
      </c>
      <c r="D175" s="44"/>
      <c r="E175" s="70">
        <v>0</v>
      </c>
      <c r="F175" s="71">
        <v>0</v>
      </c>
      <c r="G175" s="71">
        <v>0</v>
      </c>
      <c r="H175" s="71">
        <v>0</v>
      </c>
      <c r="I175" s="70">
        <v>0</v>
      </c>
      <c r="J175" s="70">
        <v>0</v>
      </c>
      <c r="K175" s="70">
        <v>0</v>
      </c>
      <c r="L175" s="70">
        <v>0</v>
      </c>
      <c r="M175" s="71">
        <f>SUM(E175:I175)</f>
        <v>0</v>
      </c>
    </row>
    <row r="176" spans="1:13" ht="83.1" customHeight="1" x14ac:dyDescent="0.3">
      <c r="A176" s="556"/>
      <c r="B176" s="572"/>
      <c r="C176" s="60" t="s">
        <v>96</v>
      </c>
      <c r="D176" s="44"/>
      <c r="E176" s="71">
        <v>0</v>
      </c>
      <c r="F176" s="71">
        <v>0</v>
      </c>
      <c r="G176" s="71">
        <v>0</v>
      </c>
      <c r="H176" s="71">
        <v>0</v>
      </c>
      <c r="I176" s="70">
        <v>0</v>
      </c>
      <c r="J176" s="70">
        <v>0</v>
      </c>
      <c r="K176" s="70">
        <v>0</v>
      </c>
      <c r="L176" s="70">
        <v>0</v>
      </c>
      <c r="M176" s="71">
        <v>0</v>
      </c>
    </row>
    <row r="177" spans="1:13" ht="83.1" customHeight="1" x14ac:dyDescent="0.3">
      <c r="A177" s="556"/>
      <c r="B177" s="572"/>
      <c r="C177" s="60" t="s">
        <v>97</v>
      </c>
      <c r="D177" s="44"/>
      <c r="E177" s="71">
        <v>0</v>
      </c>
      <c r="F177" s="71">
        <v>0</v>
      </c>
      <c r="G177" s="71">
        <v>0</v>
      </c>
      <c r="H177" s="71">
        <v>0</v>
      </c>
      <c r="I177" s="70">
        <v>0</v>
      </c>
      <c r="J177" s="70">
        <v>0</v>
      </c>
      <c r="K177" s="70">
        <v>0</v>
      </c>
      <c r="L177" s="70">
        <v>0</v>
      </c>
      <c r="M177" s="71">
        <v>0</v>
      </c>
    </row>
    <row r="178" spans="1:13" ht="57" customHeight="1" x14ac:dyDescent="0.3">
      <c r="A178" s="557"/>
      <c r="B178" s="573"/>
      <c r="C178" s="59" t="s">
        <v>98</v>
      </c>
      <c r="D178" s="44"/>
      <c r="E178" s="71">
        <v>0</v>
      </c>
      <c r="F178" s="71">
        <v>0</v>
      </c>
      <c r="G178" s="71">
        <v>0</v>
      </c>
      <c r="H178" s="71">
        <v>0</v>
      </c>
      <c r="I178" s="70">
        <v>0</v>
      </c>
      <c r="J178" s="70">
        <v>0</v>
      </c>
      <c r="K178" s="70">
        <v>0</v>
      </c>
      <c r="L178" s="70">
        <v>0</v>
      </c>
      <c r="M178" s="71">
        <v>0</v>
      </c>
    </row>
    <row r="179" spans="1:13" ht="45" customHeight="1" x14ac:dyDescent="0.3">
      <c r="A179" s="555" t="s">
        <v>181</v>
      </c>
      <c r="B179" s="565" t="s">
        <v>388</v>
      </c>
      <c r="C179" s="54" t="s">
        <v>27</v>
      </c>
      <c r="D179" s="45" t="s">
        <v>115</v>
      </c>
      <c r="E179" s="72">
        <f t="shared" ref="E179:L179" si="29">SUM(E180:E185)</f>
        <v>0</v>
      </c>
      <c r="F179" s="85">
        <f t="shared" si="29"/>
        <v>1449.7</v>
      </c>
      <c r="G179" s="85">
        <f t="shared" si="29"/>
        <v>0</v>
      </c>
      <c r="H179" s="85">
        <f t="shared" si="29"/>
        <v>0</v>
      </c>
      <c r="I179" s="72">
        <f t="shared" si="29"/>
        <v>0</v>
      </c>
      <c r="J179" s="72">
        <f t="shared" si="29"/>
        <v>0</v>
      </c>
      <c r="K179" s="85">
        <f t="shared" si="29"/>
        <v>0</v>
      </c>
      <c r="L179" s="85">
        <f t="shared" si="29"/>
        <v>0</v>
      </c>
      <c r="M179" s="85">
        <f>SUM(E179:L179)</f>
        <v>1449.7</v>
      </c>
    </row>
    <row r="180" spans="1:13" ht="42" customHeight="1" x14ac:dyDescent="0.3">
      <c r="A180" s="555"/>
      <c r="B180" s="565"/>
      <c r="C180" s="60" t="s">
        <v>93</v>
      </c>
      <c r="D180" s="44"/>
      <c r="E180" s="75">
        <v>0</v>
      </c>
      <c r="F180" s="71">
        <v>0</v>
      </c>
      <c r="G180" s="71">
        <v>0</v>
      </c>
      <c r="H180" s="71">
        <v>0</v>
      </c>
      <c r="I180" s="70">
        <v>0</v>
      </c>
      <c r="J180" s="71">
        <v>0</v>
      </c>
      <c r="K180" s="70">
        <v>0</v>
      </c>
      <c r="L180" s="71">
        <v>0</v>
      </c>
      <c r="M180" s="71">
        <f>SUM(E180:I180)</f>
        <v>0</v>
      </c>
    </row>
    <row r="181" spans="1:13" ht="45" customHeight="1" x14ac:dyDescent="0.3">
      <c r="A181" s="555"/>
      <c r="B181" s="565"/>
      <c r="C181" s="59" t="s">
        <v>94</v>
      </c>
      <c r="D181" s="44" t="s">
        <v>115</v>
      </c>
      <c r="E181" s="71">
        <f>'Приложение 5'!H81</f>
        <v>0</v>
      </c>
      <c r="F181" s="71">
        <f>'Приложение 5'!I82+'Приложение 5'!I83+'Приложение 5'!I85</f>
        <v>1449.7</v>
      </c>
      <c r="G181" s="71">
        <f>'Приложение 5'!J82+'Приложение 5'!J83+'Приложение 5'!J85</f>
        <v>0</v>
      </c>
      <c r="H181" s="71">
        <f>'Приложение 5'!K84</f>
        <v>0</v>
      </c>
      <c r="I181" s="71">
        <f>'Приложение 5'!L84</f>
        <v>0</v>
      </c>
      <c r="J181" s="71">
        <f>'Приложение 5'!M84</f>
        <v>0</v>
      </c>
      <c r="K181" s="71">
        <f>'Приложение 5'!N84</f>
        <v>0</v>
      </c>
      <c r="L181" s="71">
        <f>'Приложение 5'!O84</f>
        <v>0</v>
      </c>
      <c r="M181" s="81">
        <f>SUM(E181:I181)</f>
        <v>1449.7</v>
      </c>
    </row>
    <row r="182" spans="1:13" ht="57" customHeight="1" x14ac:dyDescent="0.3">
      <c r="A182" s="555"/>
      <c r="B182" s="565"/>
      <c r="C182" s="59" t="s">
        <v>95</v>
      </c>
      <c r="D182" s="44"/>
      <c r="E182" s="70">
        <v>0</v>
      </c>
      <c r="F182" s="71">
        <v>0</v>
      </c>
      <c r="G182" s="71">
        <v>0</v>
      </c>
      <c r="H182" s="71">
        <v>0</v>
      </c>
      <c r="I182" s="70">
        <v>0</v>
      </c>
      <c r="J182" s="70">
        <v>0</v>
      </c>
      <c r="K182" s="70">
        <v>0</v>
      </c>
      <c r="L182" s="70">
        <v>0</v>
      </c>
      <c r="M182" s="71">
        <f>SUM(E182:I182)</f>
        <v>0</v>
      </c>
    </row>
    <row r="183" spans="1:13" ht="83.1" customHeight="1" x14ac:dyDescent="0.3">
      <c r="A183" s="555"/>
      <c r="B183" s="565"/>
      <c r="C183" s="60" t="s">
        <v>96</v>
      </c>
      <c r="D183" s="44"/>
      <c r="E183" s="71">
        <v>0</v>
      </c>
      <c r="F183" s="71">
        <v>0</v>
      </c>
      <c r="G183" s="71">
        <v>0</v>
      </c>
      <c r="H183" s="71">
        <v>0</v>
      </c>
      <c r="I183" s="70">
        <v>0</v>
      </c>
      <c r="J183" s="70">
        <v>0</v>
      </c>
      <c r="K183" s="70">
        <v>0</v>
      </c>
      <c r="L183" s="70">
        <v>0</v>
      </c>
      <c r="M183" s="71">
        <v>0</v>
      </c>
    </row>
    <row r="184" spans="1:13" ht="83.1" customHeight="1" x14ac:dyDescent="0.3">
      <c r="A184" s="555"/>
      <c r="B184" s="565"/>
      <c r="C184" s="60" t="s">
        <v>97</v>
      </c>
      <c r="D184" s="44"/>
      <c r="E184" s="71">
        <v>0</v>
      </c>
      <c r="F184" s="71">
        <v>0</v>
      </c>
      <c r="G184" s="71">
        <v>0</v>
      </c>
      <c r="H184" s="71">
        <v>0</v>
      </c>
      <c r="I184" s="70">
        <v>0</v>
      </c>
      <c r="J184" s="70">
        <v>0</v>
      </c>
      <c r="K184" s="70">
        <v>0</v>
      </c>
      <c r="L184" s="70">
        <v>0</v>
      </c>
      <c r="M184" s="71">
        <v>0</v>
      </c>
    </row>
    <row r="185" spans="1:13" ht="57" customHeight="1" x14ac:dyDescent="0.3">
      <c r="A185" s="555"/>
      <c r="B185" s="565"/>
      <c r="C185" s="59" t="s">
        <v>98</v>
      </c>
      <c r="D185" s="44"/>
      <c r="E185" s="71">
        <v>0</v>
      </c>
      <c r="F185" s="71">
        <v>0</v>
      </c>
      <c r="G185" s="71">
        <v>0</v>
      </c>
      <c r="H185" s="71">
        <v>0</v>
      </c>
      <c r="I185" s="70">
        <v>0</v>
      </c>
      <c r="J185" s="70">
        <v>0</v>
      </c>
      <c r="K185" s="70">
        <v>0</v>
      </c>
      <c r="L185" s="70">
        <v>0</v>
      </c>
      <c r="M185" s="71">
        <v>0</v>
      </c>
    </row>
    <row r="186" spans="1:13" ht="32.25" customHeight="1" x14ac:dyDescent="0.3">
      <c r="A186" s="555" t="s">
        <v>200</v>
      </c>
      <c r="B186" s="565" t="s">
        <v>60</v>
      </c>
      <c r="C186" s="54" t="s">
        <v>27</v>
      </c>
      <c r="D186" s="109">
        <v>755</v>
      </c>
      <c r="E186" s="72">
        <f t="shared" ref="E186:L186" si="30">SUM(E187:E192)</f>
        <v>28300</v>
      </c>
      <c r="F186" s="85">
        <f t="shared" si="30"/>
        <v>3470</v>
      </c>
      <c r="G186" s="85">
        <f t="shared" si="30"/>
        <v>628.39</v>
      </c>
      <c r="H186" s="85">
        <f t="shared" si="30"/>
        <v>0</v>
      </c>
      <c r="I186" s="72">
        <f t="shared" si="30"/>
        <v>0</v>
      </c>
      <c r="J186" s="72">
        <f t="shared" si="30"/>
        <v>0</v>
      </c>
      <c r="K186" s="85">
        <f t="shared" si="30"/>
        <v>0</v>
      </c>
      <c r="L186" s="85">
        <f t="shared" si="30"/>
        <v>0</v>
      </c>
      <c r="M186" s="85">
        <f>SUM(E186:I186)</f>
        <v>32398.39</v>
      </c>
    </row>
    <row r="187" spans="1:13" ht="46.5" customHeight="1" x14ac:dyDescent="0.3">
      <c r="A187" s="555"/>
      <c r="B187" s="565"/>
      <c r="C187" s="60" t="s">
        <v>93</v>
      </c>
      <c r="D187" s="44"/>
      <c r="E187" s="75">
        <v>0</v>
      </c>
      <c r="F187" s="71">
        <v>0</v>
      </c>
      <c r="G187" s="71">
        <v>0</v>
      </c>
      <c r="H187" s="71">
        <v>0</v>
      </c>
      <c r="I187" s="70">
        <v>0</v>
      </c>
      <c r="J187" s="71">
        <v>0</v>
      </c>
      <c r="K187" s="70">
        <v>0</v>
      </c>
      <c r="L187" s="71">
        <v>0</v>
      </c>
      <c r="M187" s="71">
        <f>SUM(E187:I187)</f>
        <v>0</v>
      </c>
    </row>
    <row r="188" spans="1:13" ht="32.25" customHeight="1" x14ac:dyDescent="0.3">
      <c r="A188" s="555"/>
      <c r="B188" s="565"/>
      <c r="C188" s="60" t="s">
        <v>94</v>
      </c>
      <c r="D188" s="44" t="s">
        <v>35</v>
      </c>
      <c r="E188" s="70">
        <f>'Приложение 5'!H86</f>
        <v>28300</v>
      </c>
      <c r="F188" s="71">
        <f>'Приложение 5'!I87</f>
        <v>3470</v>
      </c>
      <c r="G188" s="71">
        <f>'Приложение 5'!J87</f>
        <v>628.39</v>
      </c>
      <c r="H188" s="81">
        <f>'Приложение 5'!K88</f>
        <v>0</v>
      </c>
      <c r="I188" s="82">
        <f>'Приложение 5'!L88</f>
        <v>0</v>
      </c>
      <c r="J188" s="70">
        <f>'Приложение 5'!M88</f>
        <v>0</v>
      </c>
      <c r="K188" s="71">
        <f>'Приложение 5'!N88</f>
        <v>0</v>
      </c>
      <c r="L188" s="71">
        <f>'Приложение 5'!O88</f>
        <v>0</v>
      </c>
      <c r="M188" s="81">
        <f>SUM(E188:I188)</f>
        <v>32398.39</v>
      </c>
    </row>
    <row r="189" spans="1:13" ht="63.75" customHeight="1" x14ac:dyDescent="0.3">
      <c r="A189" s="555"/>
      <c r="B189" s="565"/>
      <c r="C189" s="59" t="s">
        <v>95</v>
      </c>
      <c r="D189" s="44"/>
      <c r="E189" s="70">
        <v>0</v>
      </c>
      <c r="F189" s="71">
        <v>0</v>
      </c>
      <c r="G189" s="71">
        <v>0</v>
      </c>
      <c r="H189" s="71">
        <v>0</v>
      </c>
      <c r="I189" s="70">
        <v>0</v>
      </c>
      <c r="J189" s="70">
        <v>0</v>
      </c>
      <c r="K189" s="70">
        <v>0</v>
      </c>
      <c r="L189" s="70">
        <v>0</v>
      </c>
      <c r="M189" s="71">
        <f>SUM(E189:I189)</f>
        <v>0</v>
      </c>
    </row>
    <row r="190" spans="1:13" ht="83.1" customHeight="1" x14ac:dyDescent="0.3">
      <c r="A190" s="555"/>
      <c r="B190" s="565"/>
      <c r="C190" s="60" t="s">
        <v>96</v>
      </c>
      <c r="D190" s="44"/>
      <c r="E190" s="71">
        <v>0</v>
      </c>
      <c r="F190" s="71">
        <v>0</v>
      </c>
      <c r="G190" s="71">
        <v>0</v>
      </c>
      <c r="H190" s="71">
        <v>0</v>
      </c>
      <c r="I190" s="70">
        <v>0</v>
      </c>
      <c r="J190" s="70">
        <v>0</v>
      </c>
      <c r="K190" s="70">
        <v>0</v>
      </c>
      <c r="L190" s="70">
        <v>0</v>
      </c>
      <c r="M190" s="71">
        <v>0</v>
      </c>
    </row>
    <row r="191" spans="1:13" ht="83.1" customHeight="1" x14ac:dyDescent="0.3">
      <c r="A191" s="555"/>
      <c r="B191" s="565"/>
      <c r="C191" s="60" t="s">
        <v>97</v>
      </c>
      <c r="D191" s="44"/>
      <c r="E191" s="71">
        <v>0</v>
      </c>
      <c r="F191" s="71">
        <v>0</v>
      </c>
      <c r="G191" s="71">
        <v>0</v>
      </c>
      <c r="H191" s="71">
        <v>0</v>
      </c>
      <c r="I191" s="70">
        <v>0</v>
      </c>
      <c r="J191" s="70">
        <v>0</v>
      </c>
      <c r="K191" s="70">
        <v>0</v>
      </c>
      <c r="L191" s="70">
        <v>0</v>
      </c>
      <c r="M191" s="71">
        <v>0</v>
      </c>
    </row>
    <row r="192" spans="1:13" ht="57" customHeight="1" x14ac:dyDescent="0.3">
      <c r="A192" s="555"/>
      <c r="B192" s="565"/>
      <c r="C192" s="59" t="s">
        <v>98</v>
      </c>
      <c r="D192" s="44"/>
      <c r="E192" s="71">
        <v>0</v>
      </c>
      <c r="F192" s="71">
        <v>0</v>
      </c>
      <c r="G192" s="71">
        <v>0</v>
      </c>
      <c r="H192" s="71">
        <v>0</v>
      </c>
      <c r="I192" s="70">
        <v>0</v>
      </c>
      <c r="J192" s="70">
        <v>0</v>
      </c>
      <c r="K192" s="70">
        <v>0</v>
      </c>
      <c r="L192" s="70">
        <v>0</v>
      </c>
      <c r="M192" s="71">
        <v>0</v>
      </c>
    </row>
    <row r="193" spans="1:13" ht="27.95" customHeight="1" x14ac:dyDescent="0.3">
      <c r="A193" s="555" t="s">
        <v>201</v>
      </c>
      <c r="B193" s="613" t="s">
        <v>322</v>
      </c>
      <c r="C193" s="54" t="s">
        <v>27</v>
      </c>
      <c r="D193" s="110">
        <v>755</v>
      </c>
      <c r="E193" s="72">
        <f t="shared" ref="E193:L193" si="31">SUM(E194:E199)</f>
        <v>1300</v>
      </c>
      <c r="F193" s="85">
        <f t="shared" si="31"/>
        <v>3000</v>
      </c>
      <c r="G193" s="85">
        <f t="shared" si="31"/>
        <v>1125.05</v>
      </c>
      <c r="H193" s="85">
        <f t="shared" si="31"/>
        <v>0</v>
      </c>
      <c r="I193" s="72">
        <f t="shared" si="31"/>
        <v>0</v>
      </c>
      <c r="J193" s="72">
        <f t="shared" si="31"/>
        <v>0</v>
      </c>
      <c r="K193" s="85">
        <f t="shared" si="31"/>
        <v>0</v>
      </c>
      <c r="L193" s="85">
        <f t="shared" si="31"/>
        <v>0</v>
      </c>
      <c r="M193" s="85">
        <f>SUM(E193:I193)</f>
        <v>5425.05</v>
      </c>
    </row>
    <row r="194" spans="1:13" ht="42" customHeight="1" x14ac:dyDescent="0.3">
      <c r="A194" s="555"/>
      <c r="B194" s="614"/>
      <c r="C194" s="60" t="s">
        <v>93</v>
      </c>
      <c r="D194" s="110"/>
      <c r="E194" s="75">
        <v>0</v>
      </c>
      <c r="F194" s="71">
        <v>0</v>
      </c>
      <c r="G194" s="71">
        <v>0</v>
      </c>
      <c r="H194" s="71">
        <v>0</v>
      </c>
      <c r="I194" s="70">
        <v>0</v>
      </c>
      <c r="J194" s="71">
        <v>0</v>
      </c>
      <c r="K194" s="70">
        <v>0</v>
      </c>
      <c r="L194" s="71">
        <v>0</v>
      </c>
      <c r="M194" s="71">
        <f>SUM(E194:I194)</f>
        <v>0</v>
      </c>
    </row>
    <row r="195" spans="1:13" ht="27.95" customHeight="1" x14ac:dyDescent="0.3">
      <c r="A195" s="555"/>
      <c r="B195" s="614"/>
      <c r="C195" s="60" t="s">
        <v>94</v>
      </c>
      <c r="D195" s="110">
        <v>755</v>
      </c>
      <c r="E195" s="70">
        <f>'Приложение 5'!H89</f>
        <v>1300</v>
      </c>
      <c r="F195" s="71">
        <f>'Приложение 5'!I90</f>
        <v>3000</v>
      </c>
      <c r="G195" s="71">
        <f>'Приложение 5'!J90</f>
        <v>1125.05</v>
      </c>
      <c r="H195" s="71">
        <f>'Приложение 5'!K91</f>
        <v>0</v>
      </c>
      <c r="I195" s="70">
        <f>'Приложение 5'!L91</f>
        <v>0</v>
      </c>
      <c r="J195" s="70">
        <f>'Приложение 5'!M91</f>
        <v>0</v>
      </c>
      <c r="K195" s="71">
        <f>'Приложение 5'!N91</f>
        <v>0</v>
      </c>
      <c r="L195" s="71">
        <f>'Приложение 5'!O91</f>
        <v>0</v>
      </c>
      <c r="M195" s="81">
        <f>SUM(E195:I195)</f>
        <v>5425.05</v>
      </c>
    </row>
    <row r="196" spans="1:13" ht="57" customHeight="1" x14ac:dyDescent="0.3">
      <c r="A196" s="555"/>
      <c r="B196" s="614"/>
      <c r="C196" s="59" t="s">
        <v>95</v>
      </c>
      <c r="D196" s="110"/>
      <c r="E196" s="70">
        <v>0</v>
      </c>
      <c r="F196" s="71">
        <v>0</v>
      </c>
      <c r="G196" s="71">
        <v>0</v>
      </c>
      <c r="H196" s="71">
        <v>0</v>
      </c>
      <c r="I196" s="70">
        <v>0</v>
      </c>
      <c r="J196" s="70">
        <v>0</v>
      </c>
      <c r="K196" s="70">
        <v>0</v>
      </c>
      <c r="L196" s="70">
        <v>0</v>
      </c>
      <c r="M196" s="71">
        <f>SUM(E196:I196)</f>
        <v>0</v>
      </c>
    </row>
    <row r="197" spans="1:13" ht="83.1" customHeight="1" x14ac:dyDescent="0.3">
      <c r="A197" s="555"/>
      <c r="B197" s="614"/>
      <c r="C197" s="59" t="s">
        <v>96</v>
      </c>
      <c r="D197" s="46"/>
      <c r="E197" s="71">
        <v>0</v>
      </c>
      <c r="F197" s="71">
        <v>0</v>
      </c>
      <c r="G197" s="71">
        <v>0</v>
      </c>
      <c r="H197" s="71">
        <v>0</v>
      </c>
      <c r="I197" s="71">
        <v>0</v>
      </c>
      <c r="J197" s="71">
        <v>0</v>
      </c>
      <c r="K197" s="71">
        <v>0</v>
      </c>
      <c r="L197" s="71">
        <v>0</v>
      </c>
      <c r="M197" s="71">
        <v>0</v>
      </c>
    </row>
    <row r="198" spans="1:13" ht="83.1" customHeight="1" x14ac:dyDescent="0.3">
      <c r="A198" s="555"/>
      <c r="B198" s="614"/>
      <c r="C198" s="60" t="s">
        <v>97</v>
      </c>
      <c r="D198" s="110"/>
      <c r="E198" s="71">
        <v>0</v>
      </c>
      <c r="F198" s="71">
        <v>0</v>
      </c>
      <c r="G198" s="71">
        <v>0</v>
      </c>
      <c r="H198" s="71">
        <v>0</v>
      </c>
      <c r="I198" s="70">
        <v>0</v>
      </c>
      <c r="J198" s="70">
        <v>0</v>
      </c>
      <c r="K198" s="70">
        <v>0</v>
      </c>
      <c r="L198" s="70">
        <v>0</v>
      </c>
      <c r="M198" s="71">
        <v>0</v>
      </c>
    </row>
    <row r="199" spans="1:13" ht="57" customHeight="1" x14ac:dyDescent="0.3">
      <c r="A199" s="555"/>
      <c r="B199" s="615"/>
      <c r="C199" s="59" t="s">
        <v>98</v>
      </c>
      <c r="D199" s="110"/>
      <c r="E199" s="71">
        <v>0</v>
      </c>
      <c r="F199" s="71">
        <v>0</v>
      </c>
      <c r="G199" s="71">
        <v>0</v>
      </c>
      <c r="H199" s="71">
        <v>0</v>
      </c>
      <c r="I199" s="70">
        <v>0</v>
      </c>
      <c r="J199" s="70">
        <v>0</v>
      </c>
      <c r="K199" s="70">
        <v>0</v>
      </c>
      <c r="L199" s="70">
        <v>0</v>
      </c>
      <c r="M199" s="71">
        <v>0</v>
      </c>
    </row>
    <row r="200" spans="1:13" ht="27.95" customHeight="1" x14ac:dyDescent="0.3">
      <c r="A200" s="561" t="s">
        <v>1</v>
      </c>
      <c r="B200" s="565" t="s">
        <v>375</v>
      </c>
      <c r="C200" s="54" t="s">
        <v>27</v>
      </c>
      <c r="D200" s="111" t="s">
        <v>116</v>
      </c>
      <c r="E200" s="72">
        <f t="shared" ref="E200:L200" si="32">SUM(E201:E206)</f>
        <v>3000</v>
      </c>
      <c r="F200" s="85">
        <f t="shared" si="32"/>
        <v>3700</v>
      </c>
      <c r="G200" s="85">
        <f t="shared" si="32"/>
        <v>1655.48</v>
      </c>
      <c r="H200" s="85">
        <f t="shared" si="32"/>
        <v>0</v>
      </c>
      <c r="I200" s="72">
        <f t="shared" si="32"/>
        <v>0</v>
      </c>
      <c r="J200" s="72">
        <f t="shared" si="32"/>
        <v>0</v>
      </c>
      <c r="K200" s="85">
        <f t="shared" si="32"/>
        <v>0</v>
      </c>
      <c r="L200" s="85">
        <f t="shared" si="32"/>
        <v>0</v>
      </c>
      <c r="M200" s="85">
        <f>SUM(E200:L200)</f>
        <v>8355.48</v>
      </c>
    </row>
    <row r="201" spans="1:13" ht="42" customHeight="1" x14ac:dyDescent="0.3">
      <c r="A201" s="556"/>
      <c r="B201" s="565"/>
      <c r="C201" s="60" t="s">
        <v>93</v>
      </c>
      <c r="D201" s="111"/>
      <c r="E201" s="75">
        <f t="shared" ref="E201:L201" si="33">E208+E215</f>
        <v>0</v>
      </c>
      <c r="F201" s="91">
        <f t="shared" si="33"/>
        <v>0</v>
      </c>
      <c r="G201" s="91">
        <f t="shared" si="33"/>
        <v>0</v>
      </c>
      <c r="H201" s="71">
        <f t="shared" si="33"/>
        <v>0</v>
      </c>
      <c r="I201" s="70">
        <f t="shared" si="33"/>
        <v>0</v>
      </c>
      <c r="J201" s="71">
        <f t="shared" si="33"/>
        <v>0</v>
      </c>
      <c r="K201" s="70">
        <f t="shared" si="33"/>
        <v>0</v>
      </c>
      <c r="L201" s="71">
        <f t="shared" si="33"/>
        <v>0</v>
      </c>
      <c r="M201" s="71">
        <f>SUM(E201:I201)</f>
        <v>0</v>
      </c>
    </row>
    <row r="202" spans="1:13" ht="27.95" customHeight="1" x14ac:dyDescent="0.3">
      <c r="A202" s="556"/>
      <c r="B202" s="565"/>
      <c r="C202" s="60" t="s">
        <v>94</v>
      </c>
      <c r="D202" s="111" t="s">
        <v>116</v>
      </c>
      <c r="E202" s="75">
        <f>'Приложение 5'!H93+'Приложение 5'!H95</f>
        <v>3000</v>
      </c>
      <c r="F202" s="75">
        <f>'Приложение 5'!I93+'Приложение 5'!I95</f>
        <v>3700</v>
      </c>
      <c r="G202" s="75">
        <f>'Приложение 5'!J93+'Приложение 5'!J95</f>
        <v>1655.48</v>
      </c>
      <c r="H202" s="71">
        <f>'Приложение 5'!K92</f>
        <v>0</v>
      </c>
      <c r="I202" s="70">
        <f>'Приложение 5'!L92</f>
        <v>0</v>
      </c>
      <c r="J202" s="75">
        <f>'Приложение 5'!M92</f>
        <v>0</v>
      </c>
      <c r="K202" s="91">
        <f>'Приложение 5'!N92</f>
        <v>0</v>
      </c>
      <c r="L202" s="91">
        <f>'Приложение 5'!O92</f>
        <v>0</v>
      </c>
      <c r="M202" s="81">
        <f>SUM(E202:I202)</f>
        <v>8355.48</v>
      </c>
    </row>
    <row r="203" spans="1:13" ht="57" customHeight="1" x14ac:dyDescent="0.3">
      <c r="A203" s="556"/>
      <c r="B203" s="565"/>
      <c r="C203" s="59" t="s">
        <v>95</v>
      </c>
      <c r="D203" s="109"/>
      <c r="E203" s="75">
        <f t="shared" ref="E203:I206" si="34">E210+E217</f>
        <v>0</v>
      </c>
      <c r="F203" s="91">
        <f t="shared" si="34"/>
        <v>0</v>
      </c>
      <c r="G203" s="91">
        <f t="shared" si="34"/>
        <v>0</v>
      </c>
      <c r="H203" s="71">
        <f t="shared" si="34"/>
        <v>0</v>
      </c>
      <c r="I203" s="70">
        <f>I210+I217</f>
        <v>0</v>
      </c>
      <c r="J203" s="70">
        <f>J210+J217</f>
        <v>0</v>
      </c>
      <c r="K203" s="70">
        <f>K210+K217</f>
        <v>0</v>
      </c>
      <c r="L203" s="70">
        <f>L210+L217</f>
        <v>0</v>
      </c>
      <c r="M203" s="71">
        <f>SUM(E203:I203)</f>
        <v>0</v>
      </c>
    </row>
    <row r="204" spans="1:13" ht="83.1" customHeight="1" x14ac:dyDescent="0.3">
      <c r="A204" s="556"/>
      <c r="B204" s="565"/>
      <c r="C204" s="60" t="s">
        <v>96</v>
      </c>
      <c r="D204" s="112"/>
      <c r="E204" s="84">
        <f t="shared" si="34"/>
        <v>0</v>
      </c>
      <c r="F204" s="84">
        <f t="shared" si="34"/>
        <v>0</v>
      </c>
      <c r="G204" s="84">
        <f t="shared" si="34"/>
        <v>0</v>
      </c>
      <c r="H204" s="71">
        <f t="shared" si="34"/>
        <v>0</v>
      </c>
      <c r="I204" s="70">
        <f t="shared" si="34"/>
        <v>0</v>
      </c>
      <c r="J204" s="70">
        <f t="shared" ref="J204:M206" si="35">J211+J218</f>
        <v>0</v>
      </c>
      <c r="K204" s="70">
        <f t="shared" si="35"/>
        <v>0</v>
      </c>
      <c r="L204" s="70">
        <f t="shared" si="35"/>
        <v>0</v>
      </c>
      <c r="M204" s="71">
        <f t="shared" si="35"/>
        <v>0</v>
      </c>
    </row>
    <row r="205" spans="1:13" ht="83.1" customHeight="1" x14ac:dyDescent="0.3">
      <c r="A205" s="556"/>
      <c r="B205" s="565"/>
      <c r="C205" s="60" t="s">
        <v>97</v>
      </c>
      <c r="D205" s="112"/>
      <c r="E205" s="84">
        <f t="shared" si="34"/>
        <v>0</v>
      </c>
      <c r="F205" s="84">
        <f t="shared" si="34"/>
        <v>0</v>
      </c>
      <c r="G205" s="84">
        <f t="shared" si="34"/>
        <v>0</v>
      </c>
      <c r="H205" s="71">
        <f t="shared" si="34"/>
        <v>0</v>
      </c>
      <c r="I205" s="70">
        <f t="shared" si="34"/>
        <v>0</v>
      </c>
      <c r="J205" s="70">
        <f t="shared" si="35"/>
        <v>0</v>
      </c>
      <c r="K205" s="70">
        <f t="shared" si="35"/>
        <v>0</v>
      </c>
      <c r="L205" s="70">
        <f t="shared" si="35"/>
        <v>0</v>
      </c>
      <c r="M205" s="71">
        <f t="shared" si="35"/>
        <v>0</v>
      </c>
    </row>
    <row r="206" spans="1:13" ht="57" customHeight="1" x14ac:dyDescent="0.3">
      <c r="A206" s="557"/>
      <c r="B206" s="565"/>
      <c r="C206" s="59" t="s">
        <v>98</v>
      </c>
      <c r="D206" s="112"/>
      <c r="E206" s="84">
        <f t="shared" si="34"/>
        <v>0</v>
      </c>
      <c r="F206" s="84">
        <f t="shared" si="34"/>
        <v>0</v>
      </c>
      <c r="G206" s="84">
        <f t="shared" si="34"/>
        <v>0</v>
      </c>
      <c r="H206" s="71">
        <f t="shared" si="34"/>
        <v>0</v>
      </c>
      <c r="I206" s="70">
        <f t="shared" si="34"/>
        <v>0</v>
      </c>
      <c r="J206" s="70">
        <f t="shared" si="35"/>
        <v>0</v>
      </c>
      <c r="K206" s="70">
        <f t="shared" si="35"/>
        <v>0</v>
      </c>
      <c r="L206" s="70">
        <f t="shared" si="35"/>
        <v>0</v>
      </c>
      <c r="M206" s="71">
        <f t="shared" si="35"/>
        <v>0</v>
      </c>
    </row>
    <row r="207" spans="1:13" ht="27.95" customHeight="1" x14ac:dyDescent="0.3">
      <c r="A207" s="555" t="s">
        <v>202</v>
      </c>
      <c r="B207" s="565" t="s">
        <v>61</v>
      </c>
      <c r="C207" s="54" t="s">
        <v>27</v>
      </c>
      <c r="D207" s="44" t="s">
        <v>35</v>
      </c>
      <c r="E207" s="72">
        <f t="shared" ref="E207:L207" si="36">SUM(E208:E213)</f>
        <v>3000</v>
      </c>
      <c r="F207" s="85">
        <f t="shared" si="36"/>
        <v>2400</v>
      </c>
      <c r="G207" s="85">
        <f t="shared" si="36"/>
        <v>1655.48</v>
      </c>
      <c r="H207" s="85">
        <f t="shared" si="36"/>
        <v>0</v>
      </c>
      <c r="I207" s="72">
        <f t="shared" si="36"/>
        <v>0</v>
      </c>
      <c r="J207" s="72">
        <f t="shared" si="36"/>
        <v>0</v>
      </c>
      <c r="K207" s="85">
        <f t="shared" si="36"/>
        <v>0</v>
      </c>
      <c r="L207" s="85">
        <f t="shared" si="36"/>
        <v>0</v>
      </c>
      <c r="M207" s="85">
        <f>SUM(E207:I207)</f>
        <v>7055.48</v>
      </c>
    </row>
    <row r="208" spans="1:13" ht="42" customHeight="1" x14ac:dyDescent="0.3">
      <c r="A208" s="555"/>
      <c r="B208" s="565"/>
      <c r="C208" s="60" t="s">
        <v>93</v>
      </c>
      <c r="D208" s="44"/>
      <c r="E208" s="75">
        <v>0</v>
      </c>
      <c r="F208" s="71">
        <v>0</v>
      </c>
      <c r="G208" s="71">
        <v>0</v>
      </c>
      <c r="H208" s="71">
        <v>0</v>
      </c>
      <c r="I208" s="70">
        <v>0</v>
      </c>
      <c r="J208" s="71">
        <v>0</v>
      </c>
      <c r="K208" s="70">
        <v>0</v>
      </c>
      <c r="L208" s="71">
        <v>0</v>
      </c>
      <c r="M208" s="71">
        <f>SUM(E208:I208)</f>
        <v>0</v>
      </c>
    </row>
    <row r="209" spans="1:13" ht="27.95" customHeight="1" x14ac:dyDescent="0.3">
      <c r="A209" s="555"/>
      <c r="B209" s="565"/>
      <c r="C209" s="60" t="s">
        <v>94</v>
      </c>
      <c r="D209" s="44" t="s">
        <v>35</v>
      </c>
      <c r="E209" s="70">
        <f>'Приложение 5'!H96</f>
        <v>3000</v>
      </c>
      <c r="F209" s="71">
        <f>'Приложение 5'!I97</f>
        <v>2400</v>
      </c>
      <c r="G209" s="71">
        <f>'Приложение 5'!J97</f>
        <v>1655.48</v>
      </c>
      <c r="H209" s="71">
        <f>'Приложение 5'!K98</f>
        <v>0</v>
      </c>
      <c r="I209" s="70">
        <f>'Приложение 5'!L98</f>
        <v>0</v>
      </c>
      <c r="J209" s="70">
        <f>'Приложение 5'!M98</f>
        <v>0</v>
      </c>
      <c r="K209" s="71">
        <f>'Приложение 5'!N98</f>
        <v>0</v>
      </c>
      <c r="L209" s="71">
        <f>'Приложение 5'!O98</f>
        <v>0</v>
      </c>
      <c r="M209" s="81">
        <f>SUM(E209:I209)</f>
        <v>7055.48</v>
      </c>
    </row>
    <row r="210" spans="1:13" ht="57" customHeight="1" x14ac:dyDescent="0.3">
      <c r="A210" s="555"/>
      <c r="B210" s="565"/>
      <c r="C210" s="59" t="s">
        <v>95</v>
      </c>
      <c r="D210" s="44"/>
      <c r="E210" s="70">
        <v>0</v>
      </c>
      <c r="F210" s="71">
        <v>0</v>
      </c>
      <c r="G210" s="71">
        <v>0</v>
      </c>
      <c r="H210" s="71">
        <v>0</v>
      </c>
      <c r="I210" s="70">
        <v>0</v>
      </c>
      <c r="J210" s="70">
        <v>0</v>
      </c>
      <c r="K210" s="70">
        <v>0</v>
      </c>
      <c r="L210" s="70">
        <v>0</v>
      </c>
      <c r="M210" s="71">
        <f>SUM(E210:I210)</f>
        <v>0</v>
      </c>
    </row>
    <row r="211" spans="1:13" ht="83.1" customHeight="1" x14ac:dyDescent="0.3">
      <c r="A211" s="555"/>
      <c r="B211" s="565"/>
      <c r="C211" s="60" t="s">
        <v>96</v>
      </c>
      <c r="D211" s="44"/>
      <c r="E211" s="71">
        <v>0</v>
      </c>
      <c r="F211" s="71">
        <v>0</v>
      </c>
      <c r="G211" s="71">
        <v>0</v>
      </c>
      <c r="H211" s="71">
        <v>0</v>
      </c>
      <c r="I211" s="70">
        <v>0</v>
      </c>
      <c r="J211" s="70">
        <v>0</v>
      </c>
      <c r="K211" s="70">
        <v>0</v>
      </c>
      <c r="L211" s="70">
        <v>0</v>
      </c>
      <c r="M211" s="71">
        <v>0</v>
      </c>
    </row>
    <row r="212" spans="1:13" ht="83.1" customHeight="1" x14ac:dyDescent="0.3">
      <c r="A212" s="555"/>
      <c r="B212" s="565"/>
      <c r="C212" s="60" t="s">
        <v>97</v>
      </c>
      <c r="D212" s="44"/>
      <c r="E212" s="71">
        <v>0</v>
      </c>
      <c r="F212" s="71">
        <v>0</v>
      </c>
      <c r="G212" s="71">
        <v>0</v>
      </c>
      <c r="H212" s="71">
        <v>0</v>
      </c>
      <c r="I212" s="70">
        <v>0</v>
      </c>
      <c r="J212" s="70">
        <v>0</v>
      </c>
      <c r="K212" s="70">
        <v>0</v>
      </c>
      <c r="L212" s="70">
        <v>0</v>
      </c>
      <c r="M212" s="71">
        <v>0</v>
      </c>
    </row>
    <row r="213" spans="1:13" ht="57" customHeight="1" x14ac:dyDescent="0.3">
      <c r="A213" s="555"/>
      <c r="B213" s="565"/>
      <c r="C213" s="59" t="s">
        <v>98</v>
      </c>
      <c r="D213" s="44"/>
      <c r="E213" s="71">
        <v>0</v>
      </c>
      <c r="F213" s="71">
        <v>0</v>
      </c>
      <c r="G213" s="71">
        <v>0</v>
      </c>
      <c r="H213" s="71">
        <v>0</v>
      </c>
      <c r="I213" s="70">
        <v>0</v>
      </c>
      <c r="J213" s="70">
        <v>0</v>
      </c>
      <c r="K213" s="70">
        <v>0</v>
      </c>
      <c r="L213" s="70">
        <v>0</v>
      </c>
      <c r="M213" s="71">
        <v>0</v>
      </c>
    </row>
    <row r="214" spans="1:13" ht="27.95" customHeight="1" x14ac:dyDescent="0.3">
      <c r="A214" s="555" t="s">
        <v>203</v>
      </c>
      <c r="B214" s="565" t="s">
        <v>319</v>
      </c>
      <c r="C214" s="54" t="s">
        <v>27</v>
      </c>
      <c r="D214" s="46">
        <v>760</v>
      </c>
      <c r="E214" s="85">
        <f t="shared" ref="E214:L214" si="37">SUM(E215:E220)</f>
        <v>0</v>
      </c>
      <c r="F214" s="85">
        <f t="shared" si="37"/>
        <v>1300</v>
      </c>
      <c r="G214" s="85">
        <f t="shared" si="37"/>
        <v>0</v>
      </c>
      <c r="H214" s="85">
        <f t="shared" si="37"/>
        <v>0</v>
      </c>
      <c r="I214" s="85">
        <f t="shared" si="37"/>
        <v>0</v>
      </c>
      <c r="J214" s="85">
        <f t="shared" si="37"/>
        <v>0</v>
      </c>
      <c r="K214" s="85">
        <f t="shared" si="37"/>
        <v>0</v>
      </c>
      <c r="L214" s="85">
        <f t="shared" si="37"/>
        <v>0</v>
      </c>
      <c r="M214" s="85">
        <f>SUM(E214:I214)</f>
        <v>1300</v>
      </c>
    </row>
    <row r="215" spans="1:13" ht="42" customHeight="1" x14ac:dyDescent="0.3">
      <c r="A215" s="555"/>
      <c r="B215" s="565"/>
      <c r="C215" s="60" t="s">
        <v>93</v>
      </c>
      <c r="D215" s="46"/>
      <c r="E215" s="75">
        <v>0</v>
      </c>
      <c r="F215" s="71">
        <v>0</v>
      </c>
      <c r="G215" s="71">
        <v>0</v>
      </c>
      <c r="H215" s="71">
        <v>0</v>
      </c>
      <c r="I215" s="70">
        <v>0</v>
      </c>
      <c r="J215" s="71">
        <v>0</v>
      </c>
      <c r="K215" s="70">
        <v>0</v>
      </c>
      <c r="L215" s="71">
        <v>0</v>
      </c>
      <c r="M215" s="71">
        <f>SUM(E215:I215)</f>
        <v>0</v>
      </c>
    </row>
    <row r="216" spans="1:13" ht="30.75" customHeight="1" x14ac:dyDescent="0.3">
      <c r="A216" s="555"/>
      <c r="B216" s="565"/>
      <c r="C216" s="60" t="s">
        <v>94</v>
      </c>
      <c r="D216" s="46">
        <v>760</v>
      </c>
      <c r="E216" s="70">
        <f>'Приложение 5'!H99</f>
        <v>0</v>
      </c>
      <c r="F216" s="71">
        <f>'Приложение 5'!I99</f>
        <v>1300</v>
      </c>
      <c r="G216" s="71">
        <f>'Приложение 5'!J99</f>
        <v>0</v>
      </c>
      <c r="H216" s="71">
        <f>'Приложение 5'!K99</f>
        <v>0</v>
      </c>
      <c r="I216" s="70">
        <f>'Приложение 5'!L99</f>
        <v>0</v>
      </c>
      <c r="J216" s="70">
        <f>'Приложение 5'!M99</f>
        <v>0</v>
      </c>
      <c r="K216" s="71">
        <f>'Приложение 5'!N99</f>
        <v>0</v>
      </c>
      <c r="L216" s="71">
        <f>'Приложение 5'!O99</f>
        <v>0</v>
      </c>
      <c r="M216" s="81">
        <f>SUM(E216:I216)</f>
        <v>1300</v>
      </c>
    </row>
    <row r="217" spans="1:13" ht="68.25" customHeight="1" x14ac:dyDescent="0.3">
      <c r="A217" s="555"/>
      <c r="B217" s="565"/>
      <c r="C217" s="59" t="s">
        <v>95</v>
      </c>
      <c r="D217" s="46"/>
      <c r="E217" s="70">
        <v>0</v>
      </c>
      <c r="F217" s="71">
        <v>0</v>
      </c>
      <c r="G217" s="71">
        <v>0</v>
      </c>
      <c r="H217" s="71">
        <v>0</v>
      </c>
      <c r="I217" s="70">
        <v>0</v>
      </c>
      <c r="J217" s="70">
        <v>0</v>
      </c>
      <c r="K217" s="70">
        <v>0</v>
      </c>
      <c r="L217" s="70">
        <v>0</v>
      </c>
      <c r="M217" s="71">
        <f>SUM(E217:I217)</f>
        <v>0</v>
      </c>
    </row>
    <row r="218" spans="1:13" ht="84.75" customHeight="1" x14ac:dyDescent="0.3">
      <c r="A218" s="555"/>
      <c r="B218" s="565"/>
      <c r="C218" s="60" t="s">
        <v>96</v>
      </c>
      <c r="D218" s="46"/>
      <c r="E218" s="71">
        <v>0</v>
      </c>
      <c r="F218" s="71">
        <v>0</v>
      </c>
      <c r="G218" s="71">
        <v>0</v>
      </c>
      <c r="H218" s="71">
        <v>0</v>
      </c>
      <c r="I218" s="70">
        <v>0</v>
      </c>
      <c r="J218" s="70">
        <v>0</v>
      </c>
      <c r="K218" s="70">
        <v>0</v>
      </c>
      <c r="L218" s="70">
        <v>0</v>
      </c>
      <c r="M218" s="71">
        <v>0</v>
      </c>
    </row>
    <row r="219" spans="1:13" ht="81.75" customHeight="1" x14ac:dyDescent="0.3">
      <c r="A219" s="555"/>
      <c r="B219" s="565"/>
      <c r="C219" s="60" t="s">
        <v>97</v>
      </c>
      <c r="D219" s="46"/>
      <c r="E219" s="71">
        <v>0</v>
      </c>
      <c r="F219" s="71">
        <v>0</v>
      </c>
      <c r="G219" s="71">
        <v>0</v>
      </c>
      <c r="H219" s="71">
        <v>0</v>
      </c>
      <c r="I219" s="70">
        <v>0</v>
      </c>
      <c r="J219" s="70">
        <v>0</v>
      </c>
      <c r="K219" s="70">
        <v>0</v>
      </c>
      <c r="L219" s="70">
        <v>0</v>
      </c>
      <c r="M219" s="71">
        <v>0</v>
      </c>
    </row>
    <row r="220" spans="1:13" ht="63.75" customHeight="1" x14ac:dyDescent="0.3">
      <c r="A220" s="555"/>
      <c r="B220" s="565"/>
      <c r="C220" s="59" t="s">
        <v>98</v>
      </c>
      <c r="D220" s="46"/>
      <c r="E220" s="71">
        <v>0</v>
      </c>
      <c r="F220" s="71">
        <v>0</v>
      </c>
      <c r="G220" s="71">
        <v>0</v>
      </c>
      <c r="H220" s="71">
        <v>0</v>
      </c>
      <c r="I220" s="70">
        <v>0</v>
      </c>
      <c r="J220" s="70">
        <v>0</v>
      </c>
      <c r="K220" s="70">
        <v>0</v>
      </c>
      <c r="L220" s="70">
        <v>0</v>
      </c>
      <c r="M220" s="71">
        <v>0</v>
      </c>
    </row>
    <row r="221" spans="1:13" ht="27.95" customHeight="1" x14ac:dyDescent="0.3">
      <c r="A221" s="562" t="s">
        <v>25</v>
      </c>
      <c r="B221" s="606" t="s">
        <v>139</v>
      </c>
      <c r="C221" s="58" t="s">
        <v>27</v>
      </c>
      <c r="D221" s="106"/>
      <c r="E221" s="72">
        <f t="shared" ref="E221:L221" si="38">SUM(E222:E227)</f>
        <v>69041</v>
      </c>
      <c r="F221" s="72">
        <f t="shared" si="38"/>
        <v>39658</v>
      </c>
      <c r="G221" s="72">
        <f t="shared" si="38"/>
        <v>35959.5</v>
      </c>
      <c r="H221" s="73">
        <f t="shared" si="38"/>
        <v>8429.73</v>
      </c>
      <c r="I221" s="74">
        <f t="shared" si="38"/>
        <v>27579.61</v>
      </c>
      <c r="J221" s="72">
        <f t="shared" si="38"/>
        <v>19521</v>
      </c>
      <c r="K221" s="72">
        <f t="shared" si="38"/>
        <v>24941</v>
      </c>
      <c r="L221" s="72">
        <f t="shared" si="38"/>
        <v>24941</v>
      </c>
      <c r="M221" s="85">
        <f>SUM(E221:L221)</f>
        <v>250070.84</v>
      </c>
    </row>
    <row r="222" spans="1:13" ht="42" customHeight="1" x14ac:dyDescent="0.3">
      <c r="A222" s="563"/>
      <c r="B222" s="607"/>
      <c r="C222" s="67" t="s">
        <v>93</v>
      </c>
      <c r="D222" s="107"/>
      <c r="E222" s="75">
        <f t="shared" ref="E222:L222" si="39">E236+E243+E285+E250+E257+E278+E313</f>
        <v>0</v>
      </c>
      <c r="F222" s="77">
        <f t="shared" si="39"/>
        <v>0</v>
      </c>
      <c r="G222" s="77">
        <f t="shared" si="39"/>
        <v>0</v>
      </c>
      <c r="H222" s="92">
        <f t="shared" si="39"/>
        <v>0</v>
      </c>
      <c r="I222" s="93">
        <f t="shared" si="39"/>
        <v>0</v>
      </c>
      <c r="J222" s="92">
        <f t="shared" si="39"/>
        <v>0</v>
      </c>
      <c r="K222" s="93">
        <f t="shared" si="39"/>
        <v>0</v>
      </c>
      <c r="L222" s="92">
        <f t="shared" si="39"/>
        <v>0</v>
      </c>
      <c r="M222" s="71">
        <f>SUM(E222:I222)</f>
        <v>0</v>
      </c>
    </row>
    <row r="223" spans="1:13" ht="27.95" customHeight="1" x14ac:dyDescent="0.3">
      <c r="A223" s="563"/>
      <c r="B223" s="607"/>
      <c r="C223" s="67" t="s">
        <v>94</v>
      </c>
      <c r="D223" s="107"/>
      <c r="E223" s="75">
        <f>'Приложение 5'!H100</f>
        <v>64910</v>
      </c>
      <c r="F223" s="77">
        <f>'Приложение 5'!I100</f>
        <v>35544</v>
      </c>
      <c r="G223" s="77">
        <f>'Приложение 5'!J100</f>
        <v>31845.5</v>
      </c>
      <c r="H223" s="92">
        <f>'Приложение 5'!K100</f>
        <v>8429.73</v>
      </c>
      <c r="I223" s="93">
        <f>'Приложение 5'!L100</f>
        <v>27579.61</v>
      </c>
      <c r="J223" s="75">
        <f>'Приложение 5'!M100</f>
        <v>19521</v>
      </c>
      <c r="K223" s="77">
        <f>'Приложение 5'!N100</f>
        <v>24941</v>
      </c>
      <c r="L223" s="77">
        <f>'Приложение 5'!O100</f>
        <v>24941</v>
      </c>
      <c r="M223" s="81">
        <f>SUM(E223:L223)</f>
        <v>237711.84</v>
      </c>
    </row>
    <row r="224" spans="1:13" ht="57" customHeight="1" x14ac:dyDescent="0.3">
      <c r="A224" s="563"/>
      <c r="B224" s="607"/>
      <c r="C224" s="67" t="s">
        <v>95</v>
      </c>
      <c r="D224" s="107"/>
      <c r="E224" s="75">
        <f t="shared" ref="E224:L225" si="40">E238+E245+E287+E252+E259+E280+E315</f>
        <v>4131</v>
      </c>
      <c r="F224" s="77">
        <f t="shared" si="40"/>
        <v>4114</v>
      </c>
      <c r="G224" s="77">
        <f t="shared" si="40"/>
        <v>4114</v>
      </c>
      <c r="H224" s="92">
        <f t="shared" si="40"/>
        <v>0</v>
      </c>
      <c r="I224" s="93">
        <f t="shared" si="40"/>
        <v>0</v>
      </c>
      <c r="J224" s="93">
        <f t="shared" si="40"/>
        <v>0</v>
      </c>
      <c r="K224" s="93">
        <f t="shared" si="40"/>
        <v>0</v>
      </c>
      <c r="L224" s="93">
        <f t="shared" si="40"/>
        <v>0</v>
      </c>
      <c r="M224" s="71">
        <f>SUM(E224:I224)</f>
        <v>12359</v>
      </c>
    </row>
    <row r="225" spans="1:13" ht="83.1" customHeight="1" x14ac:dyDescent="0.3">
      <c r="A225" s="563"/>
      <c r="B225" s="607"/>
      <c r="C225" s="67" t="s">
        <v>96</v>
      </c>
      <c r="D225" s="107"/>
      <c r="E225" s="75">
        <f t="shared" si="40"/>
        <v>0</v>
      </c>
      <c r="F225" s="77">
        <f t="shared" si="40"/>
        <v>0</v>
      </c>
      <c r="G225" s="77">
        <f t="shared" si="40"/>
        <v>0</v>
      </c>
      <c r="H225" s="92">
        <f t="shared" si="40"/>
        <v>0</v>
      </c>
      <c r="I225" s="93">
        <f t="shared" si="40"/>
        <v>0</v>
      </c>
      <c r="J225" s="93">
        <f t="shared" si="40"/>
        <v>0</v>
      </c>
      <c r="K225" s="93">
        <f t="shared" si="40"/>
        <v>0</v>
      </c>
      <c r="L225" s="93">
        <f t="shared" si="40"/>
        <v>0</v>
      </c>
      <c r="M225" s="92">
        <f>M239+M246+M288+M253+M260+M281+M316</f>
        <v>0</v>
      </c>
    </row>
    <row r="226" spans="1:13" ht="83.1" customHeight="1" x14ac:dyDescent="0.3">
      <c r="A226" s="563"/>
      <c r="B226" s="607"/>
      <c r="C226" s="67" t="s">
        <v>97</v>
      </c>
      <c r="D226" s="107"/>
      <c r="E226" s="75">
        <v>0</v>
      </c>
      <c r="F226" s="75">
        <v>0</v>
      </c>
      <c r="G226" s="75">
        <v>0</v>
      </c>
      <c r="H226" s="75">
        <v>0</v>
      </c>
      <c r="I226" s="75">
        <v>0</v>
      </c>
      <c r="J226" s="75">
        <v>0</v>
      </c>
      <c r="K226" s="75">
        <v>0</v>
      </c>
      <c r="L226" s="75">
        <v>0</v>
      </c>
      <c r="M226" s="92">
        <v>0</v>
      </c>
    </row>
    <row r="227" spans="1:13" ht="57" customHeight="1" x14ac:dyDescent="0.3">
      <c r="A227" s="564"/>
      <c r="B227" s="608"/>
      <c r="C227" s="67" t="s">
        <v>98</v>
      </c>
      <c r="D227" s="107"/>
      <c r="E227" s="75">
        <f t="shared" ref="E227:M227" si="41">E240+E247+E289+E254+E261+E282+E317</f>
        <v>0</v>
      </c>
      <c r="F227" s="77">
        <f t="shared" si="41"/>
        <v>0</v>
      </c>
      <c r="G227" s="77">
        <f t="shared" si="41"/>
        <v>0</v>
      </c>
      <c r="H227" s="92">
        <f t="shared" si="41"/>
        <v>0</v>
      </c>
      <c r="I227" s="93">
        <f t="shared" si="41"/>
        <v>0</v>
      </c>
      <c r="J227" s="93">
        <f t="shared" si="41"/>
        <v>0</v>
      </c>
      <c r="K227" s="93">
        <f t="shared" si="41"/>
        <v>0</v>
      </c>
      <c r="L227" s="93">
        <f t="shared" si="41"/>
        <v>0</v>
      </c>
      <c r="M227" s="92">
        <f t="shared" si="41"/>
        <v>0</v>
      </c>
    </row>
    <row r="228" spans="1:13" ht="27.95" customHeight="1" x14ac:dyDescent="0.3">
      <c r="A228" s="562" t="s">
        <v>103</v>
      </c>
      <c r="B228" s="558" t="s">
        <v>389</v>
      </c>
      <c r="C228" s="58" t="s">
        <v>27</v>
      </c>
      <c r="D228" s="107">
        <v>759</v>
      </c>
      <c r="E228" s="94">
        <f>SUM(E229:E234)</f>
        <v>34931</v>
      </c>
      <c r="F228" s="94">
        <f t="shared" ref="F228:L228" si="42">SUM(F229:F234)</f>
        <v>32970</v>
      </c>
      <c r="G228" s="94">
        <f t="shared" si="42"/>
        <v>27170</v>
      </c>
      <c r="H228" s="94">
        <f t="shared" si="42"/>
        <v>103.73</v>
      </c>
      <c r="I228" s="94">
        <f t="shared" si="42"/>
        <v>0</v>
      </c>
      <c r="J228" s="94">
        <f t="shared" si="42"/>
        <v>0</v>
      </c>
      <c r="K228" s="94">
        <f t="shared" si="42"/>
        <v>0</v>
      </c>
      <c r="L228" s="94">
        <f t="shared" si="42"/>
        <v>0</v>
      </c>
      <c r="M228" s="96">
        <f>SUM(E228:L228)</f>
        <v>95174.73</v>
      </c>
    </row>
    <row r="229" spans="1:13" ht="42" customHeight="1" x14ac:dyDescent="0.3">
      <c r="A229" s="563"/>
      <c r="B229" s="559"/>
      <c r="C229" s="67" t="s">
        <v>93</v>
      </c>
      <c r="D229" s="107"/>
      <c r="E229" s="75">
        <v>0</v>
      </c>
      <c r="F229" s="75">
        <v>0</v>
      </c>
      <c r="G229" s="75">
        <v>0</v>
      </c>
      <c r="H229" s="75">
        <v>0</v>
      </c>
      <c r="I229" s="75">
        <v>0</v>
      </c>
      <c r="J229" s="75">
        <v>0</v>
      </c>
      <c r="K229" s="75">
        <v>0</v>
      </c>
      <c r="L229" s="75">
        <v>0</v>
      </c>
      <c r="M229" s="91">
        <v>0</v>
      </c>
    </row>
    <row r="230" spans="1:13" ht="27.95" customHeight="1" x14ac:dyDescent="0.3">
      <c r="A230" s="563"/>
      <c r="B230" s="559"/>
      <c r="C230" s="67" t="s">
        <v>94</v>
      </c>
      <c r="D230" s="107">
        <v>759</v>
      </c>
      <c r="E230" s="75">
        <f>'Приложение 5'!H107</f>
        <v>30800</v>
      </c>
      <c r="F230" s="75">
        <f>'Приложение 5'!I107</f>
        <v>28856</v>
      </c>
      <c r="G230" s="75">
        <f>'Приложение 5'!J107</f>
        <v>23056</v>
      </c>
      <c r="H230" s="92">
        <f>'Приложение 5'!K106</f>
        <v>103.73</v>
      </c>
      <c r="I230" s="93">
        <f>'Приложение 5'!L106</f>
        <v>0</v>
      </c>
      <c r="J230" s="93">
        <f>'Приложение 5'!M106</f>
        <v>0</v>
      </c>
      <c r="K230" s="93">
        <f>'Приложение 5'!N106</f>
        <v>0</v>
      </c>
      <c r="L230" s="93">
        <f>'Приложение 5'!O106</f>
        <v>0</v>
      </c>
      <c r="M230" s="92">
        <f>'Приложение 5'!P106</f>
        <v>82815.73</v>
      </c>
    </row>
    <row r="231" spans="1:13" ht="57" customHeight="1" x14ac:dyDescent="0.3">
      <c r="A231" s="563"/>
      <c r="B231" s="559"/>
      <c r="C231" s="67" t="s">
        <v>95</v>
      </c>
      <c r="D231" s="50"/>
      <c r="E231" s="91">
        <f>E238+E245+E252+E259+E266</f>
        <v>4131</v>
      </c>
      <c r="F231" s="91">
        <f t="shared" ref="F231:L231" si="43">F238+F245+F252+F259+F266</f>
        <v>4114</v>
      </c>
      <c r="G231" s="91">
        <f t="shared" si="43"/>
        <v>4114</v>
      </c>
      <c r="H231" s="91">
        <f t="shared" si="43"/>
        <v>0</v>
      </c>
      <c r="I231" s="91">
        <f t="shared" si="43"/>
        <v>0</v>
      </c>
      <c r="J231" s="91">
        <f t="shared" si="43"/>
        <v>0</v>
      </c>
      <c r="K231" s="91">
        <f t="shared" si="43"/>
        <v>0</v>
      </c>
      <c r="L231" s="91">
        <f t="shared" si="43"/>
        <v>0</v>
      </c>
      <c r="M231" s="92">
        <f>SUM(E231:L231)</f>
        <v>12359</v>
      </c>
    </row>
    <row r="232" spans="1:13" ht="83.1" customHeight="1" x14ac:dyDescent="0.3">
      <c r="A232" s="563"/>
      <c r="B232" s="559"/>
      <c r="C232" s="67" t="s">
        <v>96</v>
      </c>
      <c r="D232" s="107"/>
      <c r="E232" s="75">
        <v>0</v>
      </c>
      <c r="F232" s="75">
        <v>0</v>
      </c>
      <c r="G232" s="75">
        <v>0</v>
      </c>
      <c r="H232" s="75">
        <v>0</v>
      </c>
      <c r="I232" s="75">
        <v>0</v>
      </c>
      <c r="J232" s="75">
        <v>0</v>
      </c>
      <c r="K232" s="75">
        <v>0</v>
      </c>
      <c r="L232" s="75">
        <v>0</v>
      </c>
      <c r="M232" s="91">
        <v>0</v>
      </c>
    </row>
    <row r="233" spans="1:13" ht="83.1" customHeight="1" x14ac:dyDescent="0.3">
      <c r="A233" s="563"/>
      <c r="B233" s="559"/>
      <c r="C233" s="67" t="s">
        <v>97</v>
      </c>
      <c r="D233" s="107"/>
      <c r="E233" s="75">
        <v>0</v>
      </c>
      <c r="F233" s="75">
        <v>0</v>
      </c>
      <c r="G233" s="75">
        <v>0</v>
      </c>
      <c r="H233" s="75">
        <v>0</v>
      </c>
      <c r="I233" s="75">
        <v>0</v>
      </c>
      <c r="J233" s="75">
        <v>0</v>
      </c>
      <c r="K233" s="75">
        <v>0</v>
      </c>
      <c r="L233" s="75">
        <v>0</v>
      </c>
      <c r="M233" s="91">
        <v>0</v>
      </c>
    </row>
    <row r="234" spans="1:13" ht="57" customHeight="1" x14ac:dyDescent="0.3">
      <c r="A234" s="564"/>
      <c r="B234" s="560"/>
      <c r="C234" s="67" t="s">
        <v>98</v>
      </c>
      <c r="D234" s="107"/>
      <c r="E234" s="75">
        <v>0</v>
      </c>
      <c r="F234" s="75">
        <v>0</v>
      </c>
      <c r="G234" s="75">
        <v>0</v>
      </c>
      <c r="H234" s="75">
        <v>0</v>
      </c>
      <c r="I234" s="75">
        <v>0</v>
      </c>
      <c r="J234" s="75">
        <v>0</v>
      </c>
      <c r="K234" s="75">
        <v>0</v>
      </c>
      <c r="L234" s="75">
        <v>0</v>
      </c>
      <c r="M234" s="91">
        <v>0</v>
      </c>
    </row>
    <row r="235" spans="1:13" ht="27.95" customHeight="1" x14ac:dyDescent="0.3">
      <c r="A235" s="555" t="s">
        <v>204</v>
      </c>
      <c r="B235" s="565" t="s">
        <v>121</v>
      </c>
      <c r="C235" s="54" t="s">
        <v>27</v>
      </c>
      <c r="D235" s="69" t="s">
        <v>31</v>
      </c>
      <c r="E235" s="72">
        <f t="shared" ref="E235:L235" si="44">SUM(E236:E241)</f>
        <v>4800</v>
      </c>
      <c r="F235" s="85">
        <f t="shared" si="44"/>
        <v>4656</v>
      </c>
      <c r="G235" s="85">
        <f t="shared" si="44"/>
        <v>4656</v>
      </c>
      <c r="H235" s="85">
        <f t="shared" si="44"/>
        <v>103.73</v>
      </c>
      <c r="I235" s="72">
        <f t="shared" si="44"/>
        <v>0</v>
      </c>
      <c r="J235" s="72">
        <f t="shared" si="44"/>
        <v>0</v>
      </c>
      <c r="K235" s="85">
        <f t="shared" si="44"/>
        <v>0</v>
      </c>
      <c r="L235" s="85">
        <f t="shared" si="44"/>
        <v>0</v>
      </c>
      <c r="M235" s="85">
        <f>SUM(E235:L235)</f>
        <v>14215.73</v>
      </c>
    </row>
    <row r="236" spans="1:13" ht="42" customHeight="1" x14ac:dyDescent="0.3">
      <c r="A236" s="555"/>
      <c r="B236" s="565"/>
      <c r="C236" s="60" t="s">
        <v>93</v>
      </c>
      <c r="D236" s="69"/>
      <c r="E236" s="75">
        <v>0</v>
      </c>
      <c r="F236" s="71">
        <v>0</v>
      </c>
      <c r="G236" s="71">
        <v>0</v>
      </c>
      <c r="H236" s="71">
        <v>0</v>
      </c>
      <c r="I236" s="70">
        <v>0</v>
      </c>
      <c r="J236" s="71">
        <v>0</v>
      </c>
      <c r="K236" s="70">
        <v>0</v>
      </c>
      <c r="L236" s="71">
        <v>0</v>
      </c>
      <c r="M236" s="71">
        <f>SUM(E236:I236)</f>
        <v>0</v>
      </c>
    </row>
    <row r="237" spans="1:13" ht="27.95" customHeight="1" x14ac:dyDescent="0.3">
      <c r="A237" s="555"/>
      <c r="B237" s="565"/>
      <c r="C237" s="60" t="s">
        <v>94</v>
      </c>
      <c r="D237" s="69" t="s">
        <v>31</v>
      </c>
      <c r="E237" s="70">
        <f>'Приложение 5'!H109</f>
        <v>4800</v>
      </c>
      <c r="F237" s="71">
        <f>'Приложение 5'!I110+'Приложение 5'!I111</f>
        <v>4656</v>
      </c>
      <c r="G237" s="71">
        <f>'Приложение 5'!J112+'Приложение 5'!J113</f>
        <v>4656</v>
      </c>
      <c r="H237" s="71">
        <f>'Приложение 5'!K116</f>
        <v>103.73</v>
      </c>
      <c r="I237" s="71">
        <f>'Приложение 5'!L114+'Приложение 5'!L115</f>
        <v>0</v>
      </c>
      <c r="J237" s="71">
        <f>'Приложение 5'!M114+'Приложение 5'!M115</f>
        <v>0</v>
      </c>
      <c r="K237" s="71">
        <f>'Приложение 5'!N114+'Приложение 5'!N115</f>
        <v>0</v>
      </c>
      <c r="L237" s="71">
        <f>'Приложение 5'!O114+'Приложение 5'!O115</f>
        <v>0</v>
      </c>
      <c r="M237" s="81">
        <f>SUM(E237:L237)</f>
        <v>14215.73</v>
      </c>
    </row>
    <row r="238" spans="1:13" ht="57" customHeight="1" x14ac:dyDescent="0.3">
      <c r="A238" s="555"/>
      <c r="B238" s="565"/>
      <c r="C238" s="59" t="s">
        <v>95</v>
      </c>
      <c r="D238" s="69"/>
      <c r="E238" s="70">
        <v>0</v>
      </c>
      <c r="F238" s="71">
        <v>0</v>
      </c>
      <c r="G238" s="71">
        <v>0</v>
      </c>
      <c r="H238" s="71">
        <v>0</v>
      </c>
      <c r="I238" s="70">
        <v>0</v>
      </c>
      <c r="J238" s="70">
        <v>0</v>
      </c>
      <c r="K238" s="70">
        <v>0</v>
      </c>
      <c r="L238" s="70">
        <v>0</v>
      </c>
      <c r="M238" s="71">
        <f>SUM(E238:I238)</f>
        <v>0</v>
      </c>
    </row>
    <row r="239" spans="1:13" ht="83.1" customHeight="1" x14ac:dyDescent="0.3">
      <c r="A239" s="555"/>
      <c r="B239" s="565"/>
      <c r="C239" s="60" t="s">
        <v>96</v>
      </c>
      <c r="D239" s="69"/>
      <c r="E239" s="71">
        <v>0</v>
      </c>
      <c r="F239" s="71">
        <v>0</v>
      </c>
      <c r="G239" s="71">
        <v>0</v>
      </c>
      <c r="H239" s="71">
        <v>0</v>
      </c>
      <c r="I239" s="70">
        <v>0</v>
      </c>
      <c r="J239" s="70">
        <v>0</v>
      </c>
      <c r="K239" s="70">
        <v>0</v>
      </c>
      <c r="L239" s="70">
        <v>0</v>
      </c>
      <c r="M239" s="71">
        <v>0</v>
      </c>
    </row>
    <row r="240" spans="1:13" ht="83.1" customHeight="1" x14ac:dyDescent="0.3">
      <c r="A240" s="555"/>
      <c r="B240" s="565"/>
      <c r="C240" s="60" t="s">
        <v>97</v>
      </c>
      <c r="D240" s="69"/>
      <c r="E240" s="71">
        <v>0</v>
      </c>
      <c r="F240" s="71">
        <v>0</v>
      </c>
      <c r="G240" s="71">
        <v>0</v>
      </c>
      <c r="H240" s="71">
        <v>0</v>
      </c>
      <c r="I240" s="70">
        <v>0</v>
      </c>
      <c r="J240" s="70">
        <v>0</v>
      </c>
      <c r="K240" s="70">
        <v>0</v>
      </c>
      <c r="L240" s="70">
        <v>0</v>
      </c>
      <c r="M240" s="71">
        <v>0</v>
      </c>
    </row>
    <row r="241" spans="1:13" ht="57" customHeight="1" x14ac:dyDescent="0.3">
      <c r="A241" s="555"/>
      <c r="B241" s="565"/>
      <c r="C241" s="59" t="s">
        <v>98</v>
      </c>
      <c r="D241" s="69"/>
      <c r="E241" s="71">
        <v>0</v>
      </c>
      <c r="F241" s="71">
        <v>0</v>
      </c>
      <c r="G241" s="71">
        <v>0</v>
      </c>
      <c r="H241" s="71">
        <v>0</v>
      </c>
      <c r="I241" s="70">
        <v>0</v>
      </c>
      <c r="J241" s="70">
        <v>0</v>
      </c>
      <c r="K241" s="70">
        <v>0</v>
      </c>
      <c r="L241" s="70">
        <v>0</v>
      </c>
      <c r="M241" s="71">
        <v>0</v>
      </c>
    </row>
    <row r="242" spans="1:13" ht="27.95" customHeight="1" x14ac:dyDescent="0.3">
      <c r="A242" s="570" t="s">
        <v>205</v>
      </c>
      <c r="B242" s="565" t="s">
        <v>323</v>
      </c>
      <c r="C242" s="54" t="s">
        <v>27</v>
      </c>
      <c r="D242" s="69" t="s">
        <v>31</v>
      </c>
      <c r="E242" s="72">
        <f t="shared" ref="E242:L242" si="45">SUM(E243:E248)</f>
        <v>28531</v>
      </c>
      <c r="F242" s="85">
        <f t="shared" si="45"/>
        <v>22514</v>
      </c>
      <c r="G242" s="85">
        <f t="shared" si="45"/>
        <v>22514</v>
      </c>
      <c r="H242" s="85">
        <f t="shared" si="45"/>
        <v>0</v>
      </c>
      <c r="I242" s="72">
        <f t="shared" si="45"/>
        <v>0</v>
      </c>
      <c r="J242" s="72">
        <f t="shared" si="45"/>
        <v>0</v>
      </c>
      <c r="K242" s="85">
        <f t="shared" si="45"/>
        <v>0</v>
      </c>
      <c r="L242" s="85">
        <f t="shared" si="45"/>
        <v>0</v>
      </c>
      <c r="M242" s="85">
        <f>SUM(E242:I242)</f>
        <v>73559</v>
      </c>
    </row>
    <row r="243" spans="1:13" ht="42" customHeight="1" x14ac:dyDescent="0.3">
      <c r="A243" s="570"/>
      <c r="B243" s="565"/>
      <c r="C243" s="60" t="s">
        <v>93</v>
      </c>
      <c r="D243" s="69"/>
      <c r="E243" s="75">
        <v>0</v>
      </c>
      <c r="F243" s="71">
        <v>0</v>
      </c>
      <c r="G243" s="71">
        <v>0</v>
      </c>
      <c r="H243" s="71">
        <v>0</v>
      </c>
      <c r="I243" s="70">
        <v>0</v>
      </c>
      <c r="J243" s="71">
        <v>0</v>
      </c>
      <c r="K243" s="70">
        <v>0</v>
      </c>
      <c r="L243" s="71">
        <v>0</v>
      </c>
      <c r="M243" s="71">
        <f>SUM(E243:I243)</f>
        <v>0</v>
      </c>
    </row>
    <row r="244" spans="1:13" ht="27.95" customHeight="1" x14ac:dyDescent="0.3">
      <c r="A244" s="570"/>
      <c r="B244" s="565"/>
      <c r="C244" s="60" t="s">
        <v>94</v>
      </c>
      <c r="D244" s="69" t="s">
        <v>31</v>
      </c>
      <c r="E244" s="70">
        <f>'Приложение 5'!H117</f>
        <v>24400</v>
      </c>
      <c r="F244" s="71">
        <f>'Приложение 5'!I118</f>
        <v>18400</v>
      </c>
      <c r="G244" s="71">
        <f>'Приложение 5'!J118</f>
        <v>18400</v>
      </c>
      <c r="H244" s="71">
        <f>'Приложение 5'!K119</f>
        <v>0</v>
      </c>
      <c r="I244" s="70">
        <f>'Приложение 5'!L119</f>
        <v>0</v>
      </c>
      <c r="J244" s="70">
        <f>'Приложение 5'!M119</f>
        <v>0</v>
      </c>
      <c r="K244" s="71">
        <f>'Приложение 5'!N119</f>
        <v>0</v>
      </c>
      <c r="L244" s="71">
        <f>'Приложение 5'!O119</f>
        <v>0</v>
      </c>
      <c r="M244" s="81">
        <f>SUM(E244:L244)</f>
        <v>61200</v>
      </c>
    </row>
    <row r="245" spans="1:13" ht="57" customHeight="1" x14ac:dyDescent="0.3">
      <c r="A245" s="570"/>
      <c r="B245" s="565"/>
      <c r="C245" s="59" t="s">
        <v>95</v>
      </c>
      <c r="D245" s="69"/>
      <c r="E245" s="70">
        <v>4131</v>
      </c>
      <c r="F245" s="71">
        <v>4114</v>
      </c>
      <c r="G245" s="71">
        <v>4114</v>
      </c>
      <c r="H245" s="71">
        <f>4114-4114</f>
        <v>0</v>
      </c>
      <c r="I245" s="70">
        <f>4114-4114</f>
        <v>0</v>
      </c>
      <c r="J245" s="70">
        <f>4114-4114</f>
        <v>0</v>
      </c>
      <c r="K245" s="70">
        <f>4114-4114</f>
        <v>0</v>
      </c>
      <c r="L245" s="70">
        <f>4114-4114</f>
        <v>0</v>
      </c>
      <c r="M245" s="71">
        <f>SUM(E245:I245)</f>
        <v>12359</v>
      </c>
    </row>
    <row r="246" spans="1:13" ht="83.1" customHeight="1" x14ac:dyDescent="0.3">
      <c r="A246" s="570"/>
      <c r="B246" s="565"/>
      <c r="C246" s="60" t="s">
        <v>96</v>
      </c>
      <c r="D246" s="69"/>
      <c r="E246" s="71">
        <v>0</v>
      </c>
      <c r="F246" s="71">
        <v>0</v>
      </c>
      <c r="G246" s="71">
        <v>0</v>
      </c>
      <c r="H246" s="71">
        <v>0</v>
      </c>
      <c r="I246" s="70">
        <v>0</v>
      </c>
      <c r="J246" s="70">
        <v>0</v>
      </c>
      <c r="K246" s="70">
        <v>0</v>
      </c>
      <c r="L246" s="70">
        <v>0</v>
      </c>
      <c r="M246" s="71">
        <v>0</v>
      </c>
    </row>
    <row r="247" spans="1:13" ht="83.1" customHeight="1" x14ac:dyDescent="0.3">
      <c r="A247" s="570"/>
      <c r="B247" s="565"/>
      <c r="C247" s="59" t="s">
        <v>97</v>
      </c>
      <c r="D247" s="69"/>
      <c r="E247" s="71">
        <v>0</v>
      </c>
      <c r="F247" s="71">
        <v>0</v>
      </c>
      <c r="G247" s="71">
        <v>0</v>
      </c>
      <c r="H247" s="71">
        <v>0</v>
      </c>
      <c r="I247" s="71">
        <v>0</v>
      </c>
      <c r="J247" s="71">
        <v>0</v>
      </c>
      <c r="K247" s="71">
        <v>0</v>
      </c>
      <c r="L247" s="71">
        <v>0</v>
      </c>
      <c r="M247" s="71">
        <v>0</v>
      </c>
    </row>
    <row r="248" spans="1:13" ht="57" customHeight="1" x14ac:dyDescent="0.3">
      <c r="A248" s="570"/>
      <c r="B248" s="565"/>
      <c r="C248" s="59" t="s">
        <v>98</v>
      </c>
      <c r="D248" s="69"/>
      <c r="E248" s="71">
        <v>0</v>
      </c>
      <c r="F248" s="71">
        <v>0</v>
      </c>
      <c r="G248" s="71">
        <v>0</v>
      </c>
      <c r="H248" s="71">
        <v>0</v>
      </c>
      <c r="I248" s="70">
        <v>0</v>
      </c>
      <c r="J248" s="70">
        <v>0</v>
      </c>
      <c r="K248" s="70">
        <v>0</v>
      </c>
      <c r="L248" s="70">
        <v>0</v>
      </c>
      <c r="M248" s="71">
        <v>0</v>
      </c>
    </row>
    <row r="249" spans="1:13" ht="27.95" customHeight="1" x14ac:dyDescent="0.3">
      <c r="A249" s="555" t="s">
        <v>206</v>
      </c>
      <c r="B249" s="565" t="s">
        <v>67</v>
      </c>
      <c r="C249" s="54" t="s">
        <v>27</v>
      </c>
      <c r="D249" s="69" t="s">
        <v>31</v>
      </c>
      <c r="E249" s="72">
        <f t="shared" ref="E249:L249" si="46">SUM(E250:E255)</f>
        <v>800</v>
      </c>
      <c r="F249" s="85">
        <f t="shared" si="46"/>
        <v>0</v>
      </c>
      <c r="G249" s="85">
        <f t="shared" si="46"/>
        <v>0</v>
      </c>
      <c r="H249" s="85">
        <f t="shared" si="46"/>
        <v>0</v>
      </c>
      <c r="I249" s="72">
        <f t="shared" si="46"/>
        <v>0</v>
      </c>
      <c r="J249" s="72">
        <f t="shared" si="46"/>
        <v>0</v>
      </c>
      <c r="K249" s="85">
        <f t="shared" si="46"/>
        <v>0</v>
      </c>
      <c r="L249" s="85">
        <f t="shared" si="46"/>
        <v>0</v>
      </c>
      <c r="M249" s="85">
        <f>SUM(E249:I249)</f>
        <v>800</v>
      </c>
    </row>
    <row r="250" spans="1:13" ht="42" customHeight="1" x14ac:dyDescent="0.3">
      <c r="A250" s="555"/>
      <c r="B250" s="565"/>
      <c r="C250" s="60" t="s">
        <v>93</v>
      </c>
      <c r="D250" s="69"/>
      <c r="E250" s="75">
        <v>0</v>
      </c>
      <c r="F250" s="71">
        <v>0</v>
      </c>
      <c r="G250" s="71">
        <v>0</v>
      </c>
      <c r="H250" s="71">
        <v>0</v>
      </c>
      <c r="I250" s="70">
        <v>0</v>
      </c>
      <c r="J250" s="71">
        <v>0</v>
      </c>
      <c r="K250" s="70">
        <v>0</v>
      </c>
      <c r="L250" s="71">
        <v>0</v>
      </c>
      <c r="M250" s="71">
        <f>SUM(E250:I250)</f>
        <v>0</v>
      </c>
    </row>
    <row r="251" spans="1:13" ht="27.95" customHeight="1" x14ac:dyDescent="0.3">
      <c r="A251" s="555"/>
      <c r="B251" s="565"/>
      <c r="C251" s="60" t="s">
        <v>94</v>
      </c>
      <c r="D251" s="69" t="s">
        <v>31</v>
      </c>
      <c r="E251" s="70">
        <f>'Приложение 5'!H120</f>
        <v>800</v>
      </c>
      <c r="F251" s="71">
        <f>'Приложение 5'!I120</f>
        <v>0</v>
      </c>
      <c r="G251" s="71">
        <f>'Приложение 5'!J120</f>
        <v>0</v>
      </c>
      <c r="H251" s="71">
        <f>'Приложение 5'!K120</f>
        <v>0</v>
      </c>
      <c r="I251" s="70">
        <f>'Приложение 5'!L120</f>
        <v>0</v>
      </c>
      <c r="J251" s="70">
        <f>'Приложение 5'!M120</f>
        <v>0</v>
      </c>
      <c r="K251" s="71">
        <f>'Приложение 5'!N120</f>
        <v>0</v>
      </c>
      <c r="L251" s="71">
        <f>'Приложение 5'!O120</f>
        <v>0</v>
      </c>
      <c r="M251" s="81">
        <f>SUM(E251:I251)</f>
        <v>800</v>
      </c>
    </row>
    <row r="252" spans="1:13" ht="57" customHeight="1" x14ac:dyDescent="0.3">
      <c r="A252" s="555"/>
      <c r="B252" s="565"/>
      <c r="C252" s="59" t="s">
        <v>95</v>
      </c>
      <c r="D252" s="69"/>
      <c r="E252" s="70">
        <v>0</v>
      </c>
      <c r="F252" s="71">
        <v>0</v>
      </c>
      <c r="G252" s="71">
        <v>0</v>
      </c>
      <c r="H252" s="71">
        <v>0</v>
      </c>
      <c r="I252" s="70">
        <v>0</v>
      </c>
      <c r="J252" s="70">
        <v>0</v>
      </c>
      <c r="K252" s="70">
        <v>0</v>
      </c>
      <c r="L252" s="70">
        <v>0</v>
      </c>
      <c r="M252" s="71">
        <f>SUM(E252:I252)</f>
        <v>0</v>
      </c>
    </row>
    <row r="253" spans="1:13" ht="83.1" customHeight="1" x14ac:dyDescent="0.3">
      <c r="A253" s="555"/>
      <c r="B253" s="565"/>
      <c r="C253" s="60" t="s">
        <v>96</v>
      </c>
      <c r="D253" s="69"/>
      <c r="E253" s="71">
        <v>0</v>
      </c>
      <c r="F253" s="71">
        <v>0</v>
      </c>
      <c r="G253" s="71">
        <v>0</v>
      </c>
      <c r="H253" s="71">
        <v>0</v>
      </c>
      <c r="I253" s="70">
        <v>0</v>
      </c>
      <c r="J253" s="70">
        <v>0</v>
      </c>
      <c r="K253" s="70">
        <v>0</v>
      </c>
      <c r="L253" s="70">
        <v>0</v>
      </c>
      <c r="M253" s="71">
        <v>0</v>
      </c>
    </row>
    <row r="254" spans="1:13" ht="83.1" customHeight="1" x14ac:dyDescent="0.3">
      <c r="A254" s="555"/>
      <c r="B254" s="565"/>
      <c r="C254" s="60" t="s">
        <v>97</v>
      </c>
      <c r="D254" s="69"/>
      <c r="E254" s="71">
        <v>0</v>
      </c>
      <c r="F254" s="71">
        <v>0</v>
      </c>
      <c r="G254" s="71">
        <v>0</v>
      </c>
      <c r="H254" s="71">
        <v>0</v>
      </c>
      <c r="I254" s="70">
        <v>0</v>
      </c>
      <c r="J254" s="70">
        <v>0</v>
      </c>
      <c r="K254" s="70">
        <v>0</v>
      </c>
      <c r="L254" s="70">
        <v>0</v>
      </c>
      <c r="M254" s="71">
        <v>0</v>
      </c>
    </row>
    <row r="255" spans="1:13" ht="57" customHeight="1" x14ac:dyDescent="0.3">
      <c r="A255" s="555"/>
      <c r="B255" s="565"/>
      <c r="C255" s="59" t="s">
        <v>98</v>
      </c>
      <c r="D255" s="69"/>
      <c r="E255" s="71">
        <v>0</v>
      </c>
      <c r="F255" s="71">
        <v>0</v>
      </c>
      <c r="G255" s="71">
        <v>0</v>
      </c>
      <c r="H255" s="71">
        <v>0</v>
      </c>
      <c r="I255" s="70">
        <v>0</v>
      </c>
      <c r="J255" s="70">
        <v>0</v>
      </c>
      <c r="K255" s="70">
        <v>0</v>
      </c>
      <c r="L255" s="70">
        <v>0</v>
      </c>
      <c r="M255" s="71">
        <v>0</v>
      </c>
    </row>
    <row r="256" spans="1:13" ht="27.95" customHeight="1" x14ac:dyDescent="0.3">
      <c r="A256" s="555" t="s">
        <v>207</v>
      </c>
      <c r="B256" s="565" t="s">
        <v>306</v>
      </c>
      <c r="C256" s="54" t="s">
        <v>27</v>
      </c>
      <c r="D256" s="69" t="s">
        <v>31</v>
      </c>
      <c r="E256" s="72">
        <f t="shared" ref="E256:L256" si="47">SUM(E257:E262)</f>
        <v>800</v>
      </c>
      <c r="F256" s="85">
        <f t="shared" si="47"/>
        <v>0</v>
      </c>
      <c r="G256" s="85">
        <f t="shared" si="47"/>
        <v>0</v>
      </c>
      <c r="H256" s="85">
        <f t="shared" si="47"/>
        <v>0</v>
      </c>
      <c r="I256" s="72">
        <f t="shared" si="47"/>
        <v>0</v>
      </c>
      <c r="J256" s="72">
        <f t="shared" si="47"/>
        <v>0</v>
      </c>
      <c r="K256" s="85">
        <f t="shared" si="47"/>
        <v>0</v>
      </c>
      <c r="L256" s="85">
        <f t="shared" si="47"/>
        <v>0</v>
      </c>
      <c r="M256" s="85">
        <f>SUM(E256:I256)</f>
        <v>800</v>
      </c>
    </row>
    <row r="257" spans="1:13" ht="42" customHeight="1" x14ac:dyDescent="0.3">
      <c r="A257" s="555"/>
      <c r="B257" s="565"/>
      <c r="C257" s="60" t="s">
        <v>93</v>
      </c>
      <c r="D257" s="69"/>
      <c r="E257" s="75">
        <v>0</v>
      </c>
      <c r="F257" s="71">
        <v>0</v>
      </c>
      <c r="G257" s="71">
        <v>0</v>
      </c>
      <c r="H257" s="71">
        <v>0</v>
      </c>
      <c r="I257" s="70">
        <v>0</v>
      </c>
      <c r="J257" s="71">
        <v>0</v>
      </c>
      <c r="K257" s="70">
        <v>0</v>
      </c>
      <c r="L257" s="71">
        <v>0</v>
      </c>
      <c r="M257" s="71">
        <f>SUM(E257:I257)</f>
        <v>0</v>
      </c>
    </row>
    <row r="258" spans="1:13" ht="27.95" customHeight="1" x14ac:dyDescent="0.3">
      <c r="A258" s="555"/>
      <c r="B258" s="565"/>
      <c r="C258" s="60" t="s">
        <v>94</v>
      </c>
      <c r="D258" s="69" t="s">
        <v>31</v>
      </c>
      <c r="E258" s="70">
        <f>'Приложение 5'!H121</f>
        <v>800</v>
      </c>
      <c r="F258" s="71">
        <f>'Приложение 5'!I121</f>
        <v>0</v>
      </c>
      <c r="G258" s="71">
        <f>'Приложение 5'!J121</f>
        <v>0</v>
      </c>
      <c r="H258" s="71">
        <f>'Приложение 5'!K121</f>
        <v>0</v>
      </c>
      <c r="I258" s="70">
        <f>'Приложение 5'!L121</f>
        <v>0</v>
      </c>
      <c r="J258" s="70">
        <f>'Приложение 5'!M121</f>
        <v>0</v>
      </c>
      <c r="K258" s="71">
        <f>'Приложение 5'!N121</f>
        <v>0</v>
      </c>
      <c r="L258" s="71">
        <f>'Приложение 5'!O121</f>
        <v>0</v>
      </c>
      <c r="M258" s="81">
        <f>SUM(E258:I258)</f>
        <v>800</v>
      </c>
    </row>
    <row r="259" spans="1:13" ht="57" customHeight="1" x14ac:dyDescent="0.3">
      <c r="A259" s="555"/>
      <c r="B259" s="565"/>
      <c r="C259" s="59" t="s">
        <v>95</v>
      </c>
      <c r="D259" s="69"/>
      <c r="E259" s="70">
        <v>0</v>
      </c>
      <c r="F259" s="71">
        <v>0</v>
      </c>
      <c r="G259" s="71">
        <v>0</v>
      </c>
      <c r="H259" s="71">
        <v>0</v>
      </c>
      <c r="I259" s="70">
        <v>0</v>
      </c>
      <c r="J259" s="70">
        <v>0</v>
      </c>
      <c r="K259" s="70">
        <v>0</v>
      </c>
      <c r="L259" s="70">
        <v>0</v>
      </c>
      <c r="M259" s="71">
        <f>SUM(E259:I259)</f>
        <v>0</v>
      </c>
    </row>
    <row r="260" spans="1:13" ht="83.1" customHeight="1" x14ac:dyDescent="0.3">
      <c r="A260" s="555"/>
      <c r="B260" s="565"/>
      <c r="C260" s="60" t="s">
        <v>96</v>
      </c>
      <c r="D260" s="69"/>
      <c r="E260" s="71">
        <v>0</v>
      </c>
      <c r="F260" s="71">
        <v>0</v>
      </c>
      <c r="G260" s="71">
        <v>0</v>
      </c>
      <c r="H260" s="71">
        <v>0</v>
      </c>
      <c r="I260" s="70">
        <v>0</v>
      </c>
      <c r="J260" s="70">
        <v>0</v>
      </c>
      <c r="K260" s="70">
        <v>0</v>
      </c>
      <c r="L260" s="70">
        <v>0</v>
      </c>
      <c r="M260" s="71">
        <v>0</v>
      </c>
    </row>
    <row r="261" spans="1:13" ht="83.1" customHeight="1" x14ac:dyDescent="0.3">
      <c r="A261" s="555"/>
      <c r="B261" s="565"/>
      <c r="C261" s="60" t="s">
        <v>97</v>
      </c>
      <c r="D261" s="69"/>
      <c r="E261" s="71">
        <v>0</v>
      </c>
      <c r="F261" s="71">
        <v>0</v>
      </c>
      <c r="G261" s="71">
        <v>0</v>
      </c>
      <c r="H261" s="71">
        <v>0</v>
      </c>
      <c r="I261" s="70">
        <v>0</v>
      </c>
      <c r="J261" s="70">
        <v>0</v>
      </c>
      <c r="K261" s="70">
        <v>0</v>
      </c>
      <c r="L261" s="70">
        <v>0</v>
      </c>
      <c r="M261" s="71">
        <v>0</v>
      </c>
    </row>
    <row r="262" spans="1:13" ht="57" customHeight="1" x14ac:dyDescent="0.3">
      <c r="A262" s="555"/>
      <c r="B262" s="565"/>
      <c r="C262" s="59" t="s">
        <v>98</v>
      </c>
      <c r="D262" s="69"/>
      <c r="E262" s="71">
        <v>0</v>
      </c>
      <c r="F262" s="71">
        <v>0</v>
      </c>
      <c r="G262" s="71">
        <v>0</v>
      </c>
      <c r="H262" s="71">
        <v>0</v>
      </c>
      <c r="I262" s="70">
        <v>0</v>
      </c>
      <c r="J262" s="70">
        <v>0</v>
      </c>
      <c r="K262" s="70">
        <v>0</v>
      </c>
      <c r="L262" s="70">
        <v>0</v>
      </c>
      <c r="M262" s="71">
        <v>0</v>
      </c>
    </row>
    <row r="263" spans="1:13" ht="27.95" customHeight="1" x14ac:dyDescent="0.3">
      <c r="A263" s="561" t="s">
        <v>208</v>
      </c>
      <c r="B263" s="571" t="s">
        <v>354</v>
      </c>
      <c r="C263" s="54" t="s">
        <v>27</v>
      </c>
      <c r="D263" s="51">
        <v>759</v>
      </c>
      <c r="E263" s="72">
        <f>SUM(E264:E269)</f>
        <v>0</v>
      </c>
      <c r="F263" s="72">
        <f>SUM(F264:F269)</f>
        <v>5800</v>
      </c>
      <c r="G263" s="72">
        <f>SUM(G264:G269)</f>
        <v>0</v>
      </c>
      <c r="H263" s="72">
        <f>SUM(H264:I269)</f>
        <v>0</v>
      </c>
      <c r="I263" s="72">
        <f>SUM(I264:I269)</f>
        <v>0</v>
      </c>
      <c r="J263" s="72">
        <f>SUM(J264:J269)</f>
        <v>0</v>
      </c>
      <c r="K263" s="72">
        <f>SUM(K264:K269)</f>
        <v>0</v>
      </c>
      <c r="L263" s="72">
        <f>SUM(L264:L269)</f>
        <v>0</v>
      </c>
      <c r="M263" s="85">
        <f>SUM(E263:L263)</f>
        <v>5800</v>
      </c>
    </row>
    <row r="264" spans="1:13" ht="42" customHeight="1" x14ac:dyDescent="0.3">
      <c r="A264" s="556"/>
      <c r="B264" s="572"/>
      <c r="C264" s="60" t="s">
        <v>93</v>
      </c>
      <c r="D264" s="51"/>
      <c r="E264" s="75">
        <v>0</v>
      </c>
      <c r="F264" s="70">
        <v>0</v>
      </c>
      <c r="G264" s="70">
        <v>0</v>
      </c>
      <c r="H264" s="70">
        <v>0</v>
      </c>
      <c r="I264" s="70">
        <v>0</v>
      </c>
      <c r="J264" s="70">
        <v>0</v>
      </c>
      <c r="K264" s="70">
        <v>0</v>
      </c>
      <c r="L264" s="70">
        <v>0</v>
      </c>
      <c r="M264" s="71">
        <f>SUM(E264:I264)</f>
        <v>0</v>
      </c>
    </row>
    <row r="265" spans="1:13" ht="27.95" customHeight="1" x14ac:dyDescent="0.3">
      <c r="A265" s="556"/>
      <c r="B265" s="572"/>
      <c r="C265" s="59" t="s">
        <v>94</v>
      </c>
      <c r="D265" s="50">
        <v>759</v>
      </c>
      <c r="E265" s="71">
        <f>'Приложение 5'!H122</f>
        <v>0</v>
      </c>
      <c r="F265" s="71">
        <f>'Приложение 5'!I122</f>
        <v>5800</v>
      </c>
      <c r="G265" s="71">
        <f>'Приложение 5'!J122</f>
        <v>0</v>
      </c>
      <c r="H265" s="71">
        <f>'Приложение 5'!K123</f>
        <v>0</v>
      </c>
      <c r="I265" s="71">
        <f>'Приложение 5'!L123</f>
        <v>0</v>
      </c>
      <c r="J265" s="71">
        <f>'Приложение 5'!M123</f>
        <v>0</v>
      </c>
      <c r="K265" s="71">
        <f>'Приложение 5'!N123</f>
        <v>0</v>
      </c>
      <c r="L265" s="71">
        <f>'Приложение 5'!O123</f>
        <v>0</v>
      </c>
      <c r="M265" s="81">
        <f>SUM(E265:L265)</f>
        <v>5800</v>
      </c>
    </row>
    <row r="266" spans="1:13" ht="63.75" customHeight="1" x14ac:dyDescent="0.3">
      <c r="A266" s="556"/>
      <c r="B266" s="572"/>
      <c r="C266" s="59" t="s">
        <v>95</v>
      </c>
      <c r="D266" s="51"/>
      <c r="E266" s="70">
        <v>0</v>
      </c>
      <c r="F266" s="70">
        <v>0</v>
      </c>
      <c r="G266" s="70">
        <v>0</v>
      </c>
      <c r="H266" s="70">
        <v>0</v>
      </c>
      <c r="I266" s="70">
        <v>0</v>
      </c>
      <c r="J266" s="70">
        <v>0</v>
      </c>
      <c r="K266" s="70">
        <v>0</v>
      </c>
      <c r="L266" s="70">
        <v>0</v>
      </c>
      <c r="M266" s="71">
        <f>SUM(E266:I266)</f>
        <v>0</v>
      </c>
    </row>
    <row r="267" spans="1:13" ht="90.75" customHeight="1" x14ac:dyDescent="0.3">
      <c r="A267" s="556"/>
      <c r="B267" s="572"/>
      <c r="C267" s="60" t="s">
        <v>96</v>
      </c>
      <c r="D267" s="51"/>
      <c r="E267" s="71">
        <v>0</v>
      </c>
      <c r="F267" s="71">
        <v>0</v>
      </c>
      <c r="G267" s="71">
        <v>0</v>
      </c>
      <c r="H267" s="78">
        <v>0</v>
      </c>
      <c r="I267" s="84">
        <v>0</v>
      </c>
      <c r="J267" s="84">
        <v>0</v>
      </c>
      <c r="K267" s="84">
        <v>0</v>
      </c>
      <c r="L267" s="84">
        <v>0</v>
      </c>
      <c r="M267" s="71">
        <v>0</v>
      </c>
    </row>
    <row r="268" spans="1:13" ht="87" customHeight="1" x14ac:dyDescent="0.3">
      <c r="A268" s="556"/>
      <c r="B268" s="572"/>
      <c r="C268" s="60" t="s">
        <v>97</v>
      </c>
      <c r="D268" s="51"/>
      <c r="E268" s="71">
        <v>0</v>
      </c>
      <c r="F268" s="84">
        <v>0</v>
      </c>
      <c r="G268" s="84">
        <v>0</v>
      </c>
      <c r="H268" s="78">
        <v>0</v>
      </c>
      <c r="I268" s="84">
        <v>0</v>
      </c>
      <c r="J268" s="84">
        <v>0</v>
      </c>
      <c r="K268" s="84">
        <v>0</v>
      </c>
      <c r="L268" s="84">
        <v>0</v>
      </c>
      <c r="M268" s="71">
        <v>0</v>
      </c>
    </row>
    <row r="269" spans="1:13" ht="57" customHeight="1" x14ac:dyDescent="0.3">
      <c r="A269" s="557"/>
      <c r="B269" s="573"/>
      <c r="C269" s="59" t="s">
        <v>98</v>
      </c>
      <c r="D269" s="51"/>
      <c r="E269" s="71">
        <v>0</v>
      </c>
      <c r="F269" s="71">
        <v>0</v>
      </c>
      <c r="G269" s="71">
        <v>0</v>
      </c>
      <c r="H269" s="84">
        <v>0</v>
      </c>
      <c r="I269" s="84">
        <v>0</v>
      </c>
      <c r="J269" s="84">
        <v>0</v>
      </c>
      <c r="K269" s="84">
        <v>0</v>
      </c>
      <c r="L269" s="84">
        <v>0</v>
      </c>
      <c r="M269" s="71">
        <v>0</v>
      </c>
    </row>
    <row r="270" spans="1:13" ht="27.95" customHeight="1" x14ac:dyDescent="0.3">
      <c r="A270" s="556" t="s">
        <v>104</v>
      </c>
      <c r="B270" s="571" t="s">
        <v>376</v>
      </c>
      <c r="C270" s="54" t="s">
        <v>27</v>
      </c>
      <c r="D270" s="51"/>
      <c r="E270" s="72">
        <f t="shared" ref="E270:M270" si="48">E272</f>
        <v>32530</v>
      </c>
      <c r="F270" s="85">
        <f t="shared" si="48"/>
        <v>6688</v>
      </c>
      <c r="G270" s="85">
        <f t="shared" si="48"/>
        <v>8789.5</v>
      </c>
      <c r="H270" s="87">
        <f t="shared" si="48"/>
        <v>8326</v>
      </c>
      <c r="I270" s="87">
        <f t="shared" si="48"/>
        <v>27579.61</v>
      </c>
      <c r="J270" s="87">
        <f t="shared" si="48"/>
        <v>19521</v>
      </c>
      <c r="K270" s="87">
        <f t="shared" si="48"/>
        <v>24941</v>
      </c>
      <c r="L270" s="87">
        <f t="shared" si="48"/>
        <v>24941</v>
      </c>
      <c r="M270" s="85">
        <f t="shared" si="48"/>
        <v>153316.10999999999</v>
      </c>
    </row>
    <row r="271" spans="1:13" ht="42" customHeight="1" x14ac:dyDescent="0.3">
      <c r="A271" s="556"/>
      <c r="B271" s="572"/>
      <c r="C271" s="60" t="s">
        <v>93</v>
      </c>
      <c r="D271" s="51"/>
      <c r="E271" s="70">
        <v>0</v>
      </c>
      <c r="F271" s="70">
        <v>0</v>
      </c>
      <c r="G271" s="70">
        <v>0</v>
      </c>
      <c r="H271" s="70">
        <v>0</v>
      </c>
      <c r="I271" s="70">
        <v>0</v>
      </c>
      <c r="J271" s="70">
        <v>0</v>
      </c>
      <c r="K271" s="70">
        <v>0</v>
      </c>
      <c r="L271" s="70">
        <v>0</v>
      </c>
      <c r="M271" s="71">
        <v>0</v>
      </c>
    </row>
    <row r="272" spans="1:13" ht="27.95" customHeight="1" x14ac:dyDescent="0.3">
      <c r="A272" s="556"/>
      <c r="B272" s="572"/>
      <c r="C272" s="60" t="s">
        <v>94</v>
      </c>
      <c r="D272" s="51"/>
      <c r="E272" s="70">
        <f>'Приложение 5'!H125+'Приложение 5'!H126+'Приложение 5'!H127</f>
        <v>32530</v>
      </c>
      <c r="F272" s="70">
        <f>'Приложение 5'!I125+'Приложение 5'!I126+'Приложение 5'!I127</f>
        <v>6688</v>
      </c>
      <c r="G272" s="70">
        <f>'Приложение 5'!J125+'Приложение 5'!J126+'Приложение 5'!J127</f>
        <v>8789.5</v>
      </c>
      <c r="H272" s="84">
        <f>'Приложение 5'!K124</f>
        <v>8326</v>
      </c>
      <c r="I272" s="84">
        <f>'Приложение 5'!L124</f>
        <v>27579.61</v>
      </c>
      <c r="J272" s="84">
        <f>'Приложение 5'!M124</f>
        <v>19521</v>
      </c>
      <c r="K272" s="84">
        <f>'Приложение 5'!N124</f>
        <v>24941</v>
      </c>
      <c r="L272" s="84">
        <f>'Приложение 5'!O124</f>
        <v>24941</v>
      </c>
      <c r="M272" s="71">
        <f>'Приложение 5'!P124</f>
        <v>153316.10999999999</v>
      </c>
    </row>
    <row r="273" spans="1:13" ht="57" customHeight="1" x14ac:dyDescent="0.3">
      <c r="A273" s="556"/>
      <c r="B273" s="572"/>
      <c r="C273" s="59" t="s">
        <v>95</v>
      </c>
      <c r="D273" s="51"/>
      <c r="E273" s="70">
        <v>0</v>
      </c>
      <c r="F273" s="70">
        <v>0</v>
      </c>
      <c r="G273" s="70">
        <v>0</v>
      </c>
      <c r="H273" s="70">
        <v>0</v>
      </c>
      <c r="I273" s="70">
        <v>0</v>
      </c>
      <c r="J273" s="70">
        <v>0</v>
      </c>
      <c r="K273" s="70">
        <v>0</v>
      </c>
      <c r="L273" s="70">
        <v>0</v>
      </c>
      <c r="M273" s="71">
        <v>0</v>
      </c>
    </row>
    <row r="274" spans="1:13" ht="83.1" customHeight="1" x14ac:dyDescent="0.3">
      <c r="A274" s="556"/>
      <c r="B274" s="572"/>
      <c r="C274" s="60" t="s">
        <v>96</v>
      </c>
      <c r="D274" s="51"/>
      <c r="E274" s="70">
        <v>0</v>
      </c>
      <c r="F274" s="70">
        <v>0</v>
      </c>
      <c r="G274" s="70">
        <v>0</v>
      </c>
      <c r="H274" s="70">
        <v>0</v>
      </c>
      <c r="I274" s="70">
        <v>0</v>
      </c>
      <c r="J274" s="70">
        <v>0</v>
      </c>
      <c r="K274" s="70">
        <v>0</v>
      </c>
      <c r="L274" s="70">
        <v>0</v>
      </c>
      <c r="M274" s="71">
        <v>0</v>
      </c>
    </row>
    <row r="275" spans="1:13" ht="83.1" customHeight="1" x14ac:dyDescent="0.3">
      <c r="A275" s="556"/>
      <c r="B275" s="572"/>
      <c r="C275" s="60" t="s">
        <v>97</v>
      </c>
      <c r="D275" s="51"/>
      <c r="E275" s="70">
        <v>0</v>
      </c>
      <c r="F275" s="70">
        <v>0</v>
      </c>
      <c r="G275" s="70">
        <v>0</v>
      </c>
      <c r="H275" s="70">
        <v>0</v>
      </c>
      <c r="I275" s="70">
        <v>0</v>
      </c>
      <c r="J275" s="70">
        <v>0</v>
      </c>
      <c r="K275" s="70">
        <v>0</v>
      </c>
      <c r="L275" s="70">
        <v>0</v>
      </c>
      <c r="M275" s="71">
        <v>0</v>
      </c>
    </row>
    <row r="276" spans="1:13" ht="57" customHeight="1" x14ac:dyDescent="0.3">
      <c r="A276" s="557"/>
      <c r="B276" s="573"/>
      <c r="C276" s="59" t="s">
        <v>98</v>
      </c>
      <c r="D276" s="51"/>
      <c r="E276" s="70">
        <v>0</v>
      </c>
      <c r="F276" s="70">
        <v>0</v>
      </c>
      <c r="G276" s="70">
        <v>0</v>
      </c>
      <c r="H276" s="70">
        <v>0</v>
      </c>
      <c r="I276" s="70">
        <v>0</v>
      </c>
      <c r="J276" s="70">
        <v>0</v>
      </c>
      <c r="K276" s="70">
        <v>0</v>
      </c>
      <c r="L276" s="70">
        <v>0</v>
      </c>
      <c r="M276" s="71">
        <v>0</v>
      </c>
    </row>
    <row r="277" spans="1:13" ht="27.95" customHeight="1" x14ac:dyDescent="0.3">
      <c r="A277" s="555" t="s">
        <v>209</v>
      </c>
      <c r="B277" s="565" t="s">
        <v>68</v>
      </c>
      <c r="C277" s="54" t="s">
        <v>27</v>
      </c>
      <c r="D277" s="50">
        <v>760</v>
      </c>
      <c r="E277" s="72">
        <f t="shared" ref="E277:L277" si="49">SUM(E278:E283)</f>
        <v>9950</v>
      </c>
      <c r="F277" s="85">
        <f t="shared" si="49"/>
        <v>6688</v>
      </c>
      <c r="G277" s="85">
        <f t="shared" si="49"/>
        <v>8789.5</v>
      </c>
      <c r="H277" s="85">
        <f t="shared" si="49"/>
        <v>8326</v>
      </c>
      <c r="I277" s="72">
        <f t="shared" si="49"/>
        <v>27579.61</v>
      </c>
      <c r="J277" s="72">
        <f t="shared" si="49"/>
        <v>19521</v>
      </c>
      <c r="K277" s="72">
        <f t="shared" si="49"/>
        <v>24941</v>
      </c>
      <c r="L277" s="72">
        <f t="shared" si="49"/>
        <v>24941</v>
      </c>
      <c r="M277" s="85">
        <f>SUM(E277:L277)</f>
        <v>130736.11</v>
      </c>
    </row>
    <row r="278" spans="1:13" ht="42" customHeight="1" x14ac:dyDescent="0.3">
      <c r="A278" s="555"/>
      <c r="B278" s="565"/>
      <c r="C278" s="60" t="s">
        <v>93</v>
      </c>
      <c r="D278" s="50"/>
      <c r="E278" s="75">
        <v>0</v>
      </c>
      <c r="F278" s="71">
        <v>0</v>
      </c>
      <c r="G278" s="71">
        <v>0</v>
      </c>
      <c r="H278" s="71">
        <v>0</v>
      </c>
      <c r="I278" s="70">
        <v>0</v>
      </c>
      <c r="J278" s="70">
        <v>0</v>
      </c>
      <c r="K278" s="70">
        <v>0</v>
      </c>
      <c r="L278" s="70">
        <v>0</v>
      </c>
      <c r="M278" s="71">
        <f>SUM(E278:I278)</f>
        <v>0</v>
      </c>
    </row>
    <row r="279" spans="1:13" ht="27.95" customHeight="1" x14ac:dyDescent="0.3">
      <c r="A279" s="555"/>
      <c r="B279" s="565"/>
      <c r="C279" s="60" t="s">
        <v>94</v>
      </c>
      <c r="D279" s="50">
        <v>760</v>
      </c>
      <c r="E279" s="70">
        <f>'Приложение 5'!H129</f>
        <v>9950</v>
      </c>
      <c r="F279" s="71">
        <f>'Приложение 5'!I130</f>
        <v>6688</v>
      </c>
      <c r="G279" s="71">
        <f>'Приложение 5'!J130</f>
        <v>8789.5</v>
      </c>
      <c r="H279" s="71">
        <f>'Приложение 5'!K131</f>
        <v>8326</v>
      </c>
      <c r="I279" s="70">
        <f>'Приложение 5'!L131+'Приложение 5'!L132</f>
        <v>27579.61</v>
      </c>
      <c r="J279" s="70">
        <f>'Приложение 5'!M131+'Приложение 5'!M132</f>
        <v>19521</v>
      </c>
      <c r="K279" s="70">
        <f>'Приложение 5'!N131+'Приложение 5'!N132</f>
        <v>24941</v>
      </c>
      <c r="L279" s="70">
        <f>'Приложение 5'!O131+'Приложение 5'!O132</f>
        <v>24941</v>
      </c>
      <c r="M279" s="81">
        <f>SUM(E279:L279)</f>
        <v>130736.11</v>
      </c>
    </row>
    <row r="280" spans="1:13" ht="57" customHeight="1" x14ac:dyDescent="0.3">
      <c r="A280" s="555"/>
      <c r="B280" s="565"/>
      <c r="C280" s="59" t="s">
        <v>95</v>
      </c>
      <c r="D280" s="50"/>
      <c r="E280" s="70">
        <v>0</v>
      </c>
      <c r="F280" s="71">
        <v>0</v>
      </c>
      <c r="G280" s="71">
        <v>0</v>
      </c>
      <c r="H280" s="71">
        <v>0</v>
      </c>
      <c r="I280" s="70">
        <v>0</v>
      </c>
      <c r="J280" s="70">
        <v>0</v>
      </c>
      <c r="K280" s="70">
        <v>0</v>
      </c>
      <c r="L280" s="70">
        <v>0</v>
      </c>
      <c r="M280" s="71">
        <f>SUM(E280:I280)</f>
        <v>0</v>
      </c>
    </row>
    <row r="281" spans="1:13" ht="83.1" customHeight="1" x14ac:dyDescent="0.3">
      <c r="A281" s="555"/>
      <c r="B281" s="565"/>
      <c r="C281" s="59" t="s">
        <v>96</v>
      </c>
      <c r="D281" s="50"/>
      <c r="E281" s="71">
        <v>0</v>
      </c>
      <c r="F281" s="71">
        <v>0</v>
      </c>
      <c r="G281" s="71">
        <v>0</v>
      </c>
      <c r="H281" s="71">
        <v>0</v>
      </c>
      <c r="I281" s="71">
        <v>0</v>
      </c>
      <c r="J281" s="71">
        <v>0</v>
      </c>
      <c r="K281" s="71">
        <v>0</v>
      </c>
      <c r="L281" s="71">
        <v>0</v>
      </c>
      <c r="M281" s="71">
        <v>0</v>
      </c>
    </row>
    <row r="282" spans="1:13" ht="83.1" customHeight="1" x14ac:dyDescent="0.3">
      <c r="A282" s="555"/>
      <c r="B282" s="565"/>
      <c r="C282" s="60" t="s">
        <v>97</v>
      </c>
      <c r="D282" s="50"/>
      <c r="E282" s="71">
        <v>0</v>
      </c>
      <c r="F282" s="71">
        <v>0</v>
      </c>
      <c r="G282" s="71">
        <v>0</v>
      </c>
      <c r="H282" s="71">
        <v>0</v>
      </c>
      <c r="I282" s="70">
        <v>0</v>
      </c>
      <c r="J282" s="70">
        <v>0</v>
      </c>
      <c r="K282" s="70">
        <v>0</v>
      </c>
      <c r="L282" s="70">
        <v>0</v>
      </c>
      <c r="M282" s="71">
        <v>0</v>
      </c>
    </row>
    <row r="283" spans="1:13" ht="57" customHeight="1" x14ac:dyDescent="0.3">
      <c r="A283" s="555"/>
      <c r="B283" s="565"/>
      <c r="C283" s="59" t="s">
        <v>98</v>
      </c>
      <c r="D283" s="50"/>
      <c r="E283" s="70">
        <v>0</v>
      </c>
      <c r="F283" s="71">
        <v>0</v>
      </c>
      <c r="G283" s="71">
        <v>0</v>
      </c>
      <c r="H283" s="71">
        <v>0</v>
      </c>
      <c r="I283" s="70">
        <v>0</v>
      </c>
      <c r="J283" s="70">
        <v>0</v>
      </c>
      <c r="K283" s="70">
        <v>0</v>
      </c>
      <c r="L283" s="70">
        <v>0</v>
      </c>
      <c r="M283" s="71">
        <v>0</v>
      </c>
    </row>
    <row r="284" spans="1:13" s="19" customFormat="1" ht="27.95" customHeight="1" x14ac:dyDescent="0.3">
      <c r="A284" s="555" t="s">
        <v>210</v>
      </c>
      <c r="B284" s="569" t="s">
        <v>307</v>
      </c>
      <c r="C284" s="54" t="s">
        <v>27</v>
      </c>
      <c r="D284" s="69" t="s">
        <v>31</v>
      </c>
      <c r="E284" s="72">
        <f t="shared" ref="E284:L284" si="50">SUM(E285:E290)</f>
        <v>22000</v>
      </c>
      <c r="F284" s="85">
        <f t="shared" si="50"/>
        <v>0</v>
      </c>
      <c r="G284" s="85">
        <f t="shared" si="50"/>
        <v>0</v>
      </c>
      <c r="H284" s="85">
        <f t="shared" si="50"/>
        <v>0</v>
      </c>
      <c r="I284" s="72">
        <f t="shared" si="50"/>
        <v>0</v>
      </c>
      <c r="J284" s="72">
        <f t="shared" si="50"/>
        <v>0</v>
      </c>
      <c r="K284" s="85">
        <f t="shared" si="50"/>
        <v>0</v>
      </c>
      <c r="L284" s="85">
        <f t="shared" si="50"/>
        <v>0</v>
      </c>
      <c r="M284" s="85">
        <f>SUM(E284:L284)</f>
        <v>22000</v>
      </c>
    </row>
    <row r="285" spans="1:13" s="19" customFormat="1" ht="42" customHeight="1" x14ac:dyDescent="0.3">
      <c r="A285" s="555"/>
      <c r="B285" s="569"/>
      <c r="C285" s="60" t="s">
        <v>93</v>
      </c>
      <c r="D285" s="69"/>
      <c r="E285" s="75">
        <v>0</v>
      </c>
      <c r="F285" s="71">
        <v>0</v>
      </c>
      <c r="G285" s="71">
        <v>0</v>
      </c>
      <c r="H285" s="71">
        <v>0</v>
      </c>
      <c r="I285" s="70">
        <v>0</v>
      </c>
      <c r="J285" s="71">
        <v>0</v>
      </c>
      <c r="K285" s="70">
        <v>0</v>
      </c>
      <c r="L285" s="71">
        <v>0</v>
      </c>
      <c r="M285" s="71">
        <f>SUM(E285:I285)</f>
        <v>0</v>
      </c>
    </row>
    <row r="286" spans="1:13" s="19" customFormat="1" ht="27.95" customHeight="1" x14ac:dyDescent="0.3">
      <c r="A286" s="555"/>
      <c r="B286" s="569"/>
      <c r="C286" s="60" t="s">
        <v>94</v>
      </c>
      <c r="D286" s="69" t="s">
        <v>31</v>
      </c>
      <c r="E286" s="70">
        <f>'Приложение 5'!H133</f>
        <v>22000</v>
      </c>
      <c r="F286" s="71">
        <f>'Приложение 5'!I133</f>
        <v>0</v>
      </c>
      <c r="G286" s="71">
        <f>'Приложение 5'!J133</f>
        <v>0</v>
      </c>
      <c r="H286" s="71">
        <f>'Приложение 5'!K133</f>
        <v>0</v>
      </c>
      <c r="I286" s="70">
        <f>'Приложение 5'!L133</f>
        <v>0</v>
      </c>
      <c r="J286" s="70">
        <f>'Приложение 5'!M133</f>
        <v>0</v>
      </c>
      <c r="K286" s="71">
        <f>'Приложение 5'!N133</f>
        <v>0</v>
      </c>
      <c r="L286" s="71">
        <f>'Приложение 5'!O133</f>
        <v>0</v>
      </c>
      <c r="M286" s="81">
        <f>SUM(E286:I286)</f>
        <v>22000</v>
      </c>
    </row>
    <row r="287" spans="1:13" s="19" customFormat="1" ht="57" customHeight="1" x14ac:dyDescent="0.3">
      <c r="A287" s="555"/>
      <c r="B287" s="569"/>
      <c r="C287" s="59" t="s">
        <v>95</v>
      </c>
      <c r="D287" s="69"/>
      <c r="E287" s="70">
        <v>0</v>
      </c>
      <c r="F287" s="71">
        <v>0</v>
      </c>
      <c r="G287" s="71">
        <v>0</v>
      </c>
      <c r="H287" s="71">
        <v>0</v>
      </c>
      <c r="I287" s="70">
        <v>0</v>
      </c>
      <c r="J287" s="70">
        <v>0</v>
      </c>
      <c r="K287" s="70">
        <v>0</v>
      </c>
      <c r="L287" s="70">
        <v>0</v>
      </c>
      <c r="M287" s="71">
        <f>SUM(E287:I287)</f>
        <v>0</v>
      </c>
    </row>
    <row r="288" spans="1:13" s="19" customFormat="1" ht="83.1" customHeight="1" x14ac:dyDescent="0.3">
      <c r="A288" s="555"/>
      <c r="B288" s="569"/>
      <c r="C288" s="60" t="s">
        <v>96</v>
      </c>
      <c r="D288" s="69"/>
      <c r="E288" s="71">
        <v>0</v>
      </c>
      <c r="F288" s="71">
        <v>0</v>
      </c>
      <c r="G288" s="71">
        <v>0</v>
      </c>
      <c r="H288" s="71">
        <v>0</v>
      </c>
      <c r="I288" s="70">
        <v>0</v>
      </c>
      <c r="J288" s="70">
        <v>0</v>
      </c>
      <c r="K288" s="70">
        <v>0</v>
      </c>
      <c r="L288" s="70">
        <v>0</v>
      </c>
      <c r="M288" s="71">
        <v>0</v>
      </c>
    </row>
    <row r="289" spans="1:13" s="19" customFormat="1" ht="83.1" customHeight="1" x14ac:dyDescent="0.3">
      <c r="A289" s="555"/>
      <c r="B289" s="569"/>
      <c r="C289" s="60" t="s">
        <v>97</v>
      </c>
      <c r="D289" s="69"/>
      <c r="E289" s="71">
        <v>0</v>
      </c>
      <c r="F289" s="71">
        <v>0</v>
      </c>
      <c r="G289" s="71">
        <v>0</v>
      </c>
      <c r="H289" s="71">
        <v>0</v>
      </c>
      <c r="I289" s="70">
        <v>0</v>
      </c>
      <c r="J289" s="70">
        <v>0</v>
      </c>
      <c r="K289" s="70">
        <v>0</v>
      </c>
      <c r="L289" s="70">
        <v>0</v>
      </c>
      <c r="M289" s="71">
        <v>0</v>
      </c>
    </row>
    <row r="290" spans="1:13" s="19" customFormat="1" ht="57" customHeight="1" x14ac:dyDescent="0.3">
      <c r="A290" s="555"/>
      <c r="B290" s="569"/>
      <c r="C290" s="59" t="s">
        <v>98</v>
      </c>
      <c r="D290" s="69"/>
      <c r="E290" s="71">
        <v>0</v>
      </c>
      <c r="F290" s="71">
        <v>0</v>
      </c>
      <c r="G290" s="71">
        <v>0</v>
      </c>
      <c r="H290" s="71">
        <v>0</v>
      </c>
      <c r="I290" s="70">
        <v>0</v>
      </c>
      <c r="J290" s="70">
        <v>0</v>
      </c>
      <c r="K290" s="70">
        <v>0</v>
      </c>
      <c r="L290" s="70">
        <v>0</v>
      </c>
      <c r="M290" s="71">
        <v>0</v>
      </c>
    </row>
    <row r="291" spans="1:13" s="19" customFormat="1" ht="27.95" customHeight="1" x14ac:dyDescent="0.3">
      <c r="A291" s="570" t="s">
        <v>259</v>
      </c>
      <c r="B291" s="569" t="s">
        <v>73</v>
      </c>
      <c r="C291" s="54" t="s">
        <v>27</v>
      </c>
      <c r="D291" s="69">
        <v>755</v>
      </c>
      <c r="E291" s="72">
        <f t="shared" ref="E291:L291" si="51">SUM(E292:E297)</f>
        <v>500</v>
      </c>
      <c r="F291" s="85">
        <f t="shared" si="51"/>
        <v>0</v>
      </c>
      <c r="G291" s="85">
        <f t="shared" si="51"/>
        <v>0</v>
      </c>
      <c r="H291" s="85">
        <f t="shared" si="51"/>
        <v>0</v>
      </c>
      <c r="I291" s="72">
        <f t="shared" si="51"/>
        <v>0</v>
      </c>
      <c r="J291" s="72">
        <f t="shared" si="51"/>
        <v>0</v>
      </c>
      <c r="K291" s="85">
        <f t="shared" si="51"/>
        <v>0</v>
      </c>
      <c r="L291" s="85">
        <f t="shared" si="51"/>
        <v>0</v>
      </c>
      <c r="M291" s="85">
        <f>SUM(E291:I291)</f>
        <v>500</v>
      </c>
    </row>
    <row r="292" spans="1:13" s="19" customFormat="1" ht="42" customHeight="1" x14ac:dyDescent="0.3">
      <c r="A292" s="570"/>
      <c r="B292" s="569"/>
      <c r="C292" s="59" t="s">
        <v>93</v>
      </c>
      <c r="D292" s="69"/>
      <c r="E292" s="75">
        <v>0</v>
      </c>
      <c r="F292" s="71">
        <v>0</v>
      </c>
      <c r="G292" s="71">
        <v>0</v>
      </c>
      <c r="H292" s="71">
        <v>0</v>
      </c>
      <c r="I292" s="70">
        <v>0</v>
      </c>
      <c r="J292" s="71">
        <v>0</v>
      </c>
      <c r="K292" s="70">
        <v>0</v>
      </c>
      <c r="L292" s="71">
        <v>0</v>
      </c>
      <c r="M292" s="71">
        <f>SUM(E292:I292)</f>
        <v>0</v>
      </c>
    </row>
    <row r="293" spans="1:13" s="19" customFormat="1" ht="27.95" customHeight="1" x14ac:dyDescent="0.3">
      <c r="A293" s="570"/>
      <c r="B293" s="569"/>
      <c r="C293" s="60" t="s">
        <v>94</v>
      </c>
      <c r="D293" s="69">
        <v>755</v>
      </c>
      <c r="E293" s="70">
        <f>'Приложение 5'!H134</f>
        <v>500</v>
      </c>
      <c r="F293" s="71">
        <f>'Приложение 5'!I134</f>
        <v>0</v>
      </c>
      <c r="G293" s="71">
        <f>'Приложение 5'!J134</f>
        <v>0</v>
      </c>
      <c r="H293" s="71">
        <f>'Приложение 5'!K134</f>
        <v>0</v>
      </c>
      <c r="I293" s="70">
        <f>'Приложение 5'!L134</f>
        <v>0</v>
      </c>
      <c r="J293" s="70">
        <f>'Приложение 5'!M134</f>
        <v>0</v>
      </c>
      <c r="K293" s="71">
        <f>'Приложение 5'!N134</f>
        <v>0</v>
      </c>
      <c r="L293" s="71">
        <f>'Приложение 5'!O134</f>
        <v>0</v>
      </c>
      <c r="M293" s="71">
        <f>'Приложение 5'!P134</f>
        <v>500</v>
      </c>
    </row>
    <row r="294" spans="1:13" s="19" customFormat="1" ht="57" customHeight="1" x14ac:dyDescent="0.3">
      <c r="A294" s="570"/>
      <c r="B294" s="569"/>
      <c r="C294" s="59" t="s">
        <v>95</v>
      </c>
      <c r="D294" s="69"/>
      <c r="E294" s="70">
        <v>0</v>
      </c>
      <c r="F294" s="71">
        <v>0</v>
      </c>
      <c r="G294" s="71">
        <v>0</v>
      </c>
      <c r="H294" s="71">
        <v>0</v>
      </c>
      <c r="I294" s="70">
        <v>0</v>
      </c>
      <c r="J294" s="70">
        <v>0</v>
      </c>
      <c r="K294" s="70">
        <v>0</v>
      </c>
      <c r="L294" s="70">
        <v>0</v>
      </c>
      <c r="M294" s="71">
        <f>SUM(E294:I294)</f>
        <v>0</v>
      </c>
    </row>
    <row r="295" spans="1:13" s="19" customFormat="1" ht="83.1" customHeight="1" x14ac:dyDescent="0.3">
      <c r="A295" s="570"/>
      <c r="B295" s="569"/>
      <c r="C295" s="60" t="s">
        <v>96</v>
      </c>
      <c r="D295" s="69"/>
      <c r="E295" s="71">
        <v>0</v>
      </c>
      <c r="F295" s="71">
        <v>0</v>
      </c>
      <c r="G295" s="71">
        <v>0</v>
      </c>
      <c r="H295" s="71">
        <v>0</v>
      </c>
      <c r="I295" s="70">
        <v>0</v>
      </c>
      <c r="J295" s="70">
        <v>0</v>
      </c>
      <c r="K295" s="70">
        <v>0</v>
      </c>
      <c r="L295" s="70">
        <v>0</v>
      </c>
      <c r="M295" s="71">
        <v>0</v>
      </c>
    </row>
    <row r="296" spans="1:13" s="19" customFormat="1" ht="83.1" customHeight="1" x14ac:dyDescent="0.3">
      <c r="A296" s="570"/>
      <c r="B296" s="569"/>
      <c r="C296" s="60" t="s">
        <v>97</v>
      </c>
      <c r="D296" s="69"/>
      <c r="E296" s="71">
        <v>0</v>
      </c>
      <c r="F296" s="71">
        <v>0</v>
      </c>
      <c r="G296" s="71">
        <v>0</v>
      </c>
      <c r="H296" s="71">
        <v>0</v>
      </c>
      <c r="I296" s="70">
        <v>0</v>
      </c>
      <c r="J296" s="70">
        <v>0</v>
      </c>
      <c r="K296" s="70">
        <v>0</v>
      </c>
      <c r="L296" s="70">
        <v>0</v>
      </c>
      <c r="M296" s="71">
        <v>0</v>
      </c>
    </row>
    <row r="297" spans="1:13" s="19" customFormat="1" ht="57" customHeight="1" x14ac:dyDescent="0.3">
      <c r="A297" s="570"/>
      <c r="B297" s="569"/>
      <c r="C297" s="59" t="s">
        <v>98</v>
      </c>
      <c r="D297" s="69"/>
      <c r="E297" s="71">
        <v>0</v>
      </c>
      <c r="F297" s="71">
        <v>0</v>
      </c>
      <c r="G297" s="71">
        <v>0</v>
      </c>
      <c r="H297" s="71">
        <v>0</v>
      </c>
      <c r="I297" s="70">
        <v>0</v>
      </c>
      <c r="J297" s="70">
        <v>0</v>
      </c>
      <c r="K297" s="70">
        <v>0</v>
      </c>
      <c r="L297" s="70">
        <v>0</v>
      </c>
      <c r="M297" s="71">
        <v>0</v>
      </c>
    </row>
    <row r="298" spans="1:13" s="19" customFormat="1" ht="27.95" customHeight="1" x14ac:dyDescent="0.3">
      <c r="A298" s="555" t="s">
        <v>260</v>
      </c>
      <c r="B298" s="565" t="s">
        <v>74</v>
      </c>
      <c r="C298" s="54" t="s">
        <v>27</v>
      </c>
      <c r="D298" s="69">
        <v>755</v>
      </c>
      <c r="E298" s="85">
        <f>SUM(E299:E304)</f>
        <v>80</v>
      </c>
      <c r="F298" s="85">
        <f>SUM(F299:F304)</f>
        <v>0</v>
      </c>
      <c r="G298" s="85">
        <f>SUM(G299:G304)</f>
        <v>0</v>
      </c>
      <c r="H298" s="85">
        <f>H299+H300+H301+H302+H303+H304</f>
        <v>0</v>
      </c>
      <c r="I298" s="85">
        <f>I299+I300+I301+I302+I303+I304</f>
        <v>0</v>
      </c>
      <c r="J298" s="85">
        <f>SUM(J299:J304)</f>
        <v>0</v>
      </c>
      <c r="K298" s="85">
        <f>SUM(K299:K304)</f>
        <v>0</v>
      </c>
      <c r="L298" s="85">
        <f>SUM(L299:L304)</f>
        <v>0</v>
      </c>
      <c r="M298" s="85">
        <f>SUM(E298:I298)</f>
        <v>80</v>
      </c>
    </row>
    <row r="299" spans="1:13" s="19" customFormat="1" ht="51.75" customHeight="1" x14ac:dyDescent="0.3">
      <c r="A299" s="555"/>
      <c r="B299" s="565"/>
      <c r="C299" s="67" t="s">
        <v>93</v>
      </c>
      <c r="D299" s="69"/>
      <c r="E299" s="75">
        <v>0</v>
      </c>
      <c r="F299" s="71">
        <v>0</v>
      </c>
      <c r="G299" s="71">
        <v>0</v>
      </c>
      <c r="H299" s="71">
        <v>0</v>
      </c>
      <c r="I299" s="70">
        <v>0</v>
      </c>
      <c r="J299" s="71">
        <v>0</v>
      </c>
      <c r="K299" s="70">
        <v>0</v>
      </c>
      <c r="L299" s="71">
        <v>0</v>
      </c>
      <c r="M299" s="71">
        <f>SUM(E299:I299)</f>
        <v>0</v>
      </c>
    </row>
    <row r="300" spans="1:13" s="19" customFormat="1" ht="42" customHeight="1" x14ac:dyDescent="0.3">
      <c r="A300" s="555"/>
      <c r="B300" s="565"/>
      <c r="C300" s="60" t="s">
        <v>94</v>
      </c>
      <c r="D300" s="69">
        <v>755</v>
      </c>
      <c r="E300" s="70">
        <f>'Приложение 5'!H135</f>
        <v>80</v>
      </c>
      <c r="F300" s="71">
        <f>'Приложение 5'!I135</f>
        <v>0</v>
      </c>
      <c r="G300" s="71">
        <f>'Приложение 5'!J135</f>
        <v>0</v>
      </c>
      <c r="H300" s="71">
        <f>'Приложение 5'!K135</f>
        <v>0</v>
      </c>
      <c r="I300" s="70">
        <f>'Приложение 5'!L135</f>
        <v>0</v>
      </c>
      <c r="J300" s="70">
        <f>'Приложение 5'!M135</f>
        <v>0</v>
      </c>
      <c r="K300" s="71">
        <f>'Приложение 5'!N135</f>
        <v>0</v>
      </c>
      <c r="L300" s="71">
        <f>'Приложение 5'!O135</f>
        <v>0</v>
      </c>
      <c r="M300" s="71">
        <f>'Приложение 5'!P135</f>
        <v>80</v>
      </c>
    </row>
    <row r="301" spans="1:13" s="19" customFormat="1" ht="65.25" customHeight="1" x14ac:dyDescent="0.3">
      <c r="A301" s="555"/>
      <c r="B301" s="565"/>
      <c r="C301" s="59" t="s">
        <v>95</v>
      </c>
      <c r="D301" s="69"/>
      <c r="E301" s="70">
        <v>0</v>
      </c>
      <c r="F301" s="71">
        <v>0</v>
      </c>
      <c r="G301" s="71">
        <v>0</v>
      </c>
      <c r="H301" s="71">
        <v>0</v>
      </c>
      <c r="I301" s="70">
        <v>0</v>
      </c>
      <c r="J301" s="70">
        <v>0</v>
      </c>
      <c r="K301" s="70">
        <v>0</v>
      </c>
      <c r="L301" s="70">
        <v>0</v>
      </c>
      <c r="M301" s="71">
        <f>SUM(E301:I301)</f>
        <v>0</v>
      </c>
    </row>
    <row r="302" spans="1:13" s="19" customFormat="1" ht="83.1" customHeight="1" x14ac:dyDescent="0.3">
      <c r="A302" s="555"/>
      <c r="B302" s="565"/>
      <c r="C302" s="60" t="s">
        <v>96</v>
      </c>
      <c r="D302" s="69"/>
      <c r="E302" s="71">
        <v>0</v>
      </c>
      <c r="F302" s="71">
        <v>0</v>
      </c>
      <c r="G302" s="71">
        <v>0</v>
      </c>
      <c r="H302" s="71">
        <v>0</v>
      </c>
      <c r="I302" s="70">
        <v>0</v>
      </c>
      <c r="J302" s="70">
        <v>0</v>
      </c>
      <c r="K302" s="70">
        <v>0</v>
      </c>
      <c r="L302" s="70">
        <v>0</v>
      </c>
      <c r="M302" s="71">
        <v>0</v>
      </c>
    </row>
    <row r="303" spans="1:13" s="19" customFormat="1" ht="83.1" customHeight="1" x14ac:dyDescent="0.3">
      <c r="A303" s="555"/>
      <c r="B303" s="565"/>
      <c r="C303" s="60" t="s">
        <v>97</v>
      </c>
      <c r="D303" s="69"/>
      <c r="E303" s="71">
        <v>0</v>
      </c>
      <c r="F303" s="71">
        <v>0</v>
      </c>
      <c r="G303" s="71">
        <v>0</v>
      </c>
      <c r="H303" s="71">
        <v>0</v>
      </c>
      <c r="I303" s="70">
        <v>0</v>
      </c>
      <c r="J303" s="70">
        <v>0</v>
      </c>
      <c r="K303" s="70">
        <v>0</v>
      </c>
      <c r="L303" s="70">
        <v>0</v>
      </c>
      <c r="M303" s="71">
        <v>0</v>
      </c>
    </row>
    <row r="304" spans="1:13" s="19" customFormat="1" ht="57" customHeight="1" x14ac:dyDescent="0.3">
      <c r="A304" s="555"/>
      <c r="B304" s="565"/>
      <c r="C304" s="59" t="s">
        <v>98</v>
      </c>
      <c r="D304" s="69"/>
      <c r="E304" s="71">
        <v>0</v>
      </c>
      <c r="F304" s="71">
        <v>0</v>
      </c>
      <c r="G304" s="71">
        <v>0</v>
      </c>
      <c r="H304" s="71">
        <v>0</v>
      </c>
      <c r="I304" s="70">
        <v>0</v>
      </c>
      <c r="J304" s="70">
        <v>0</v>
      </c>
      <c r="K304" s="70">
        <v>0</v>
      </c>
      <c r="L304" s="70">
        <v>0</v>
      </c>
      <c r="M304" s="71">
        <v>0</v>
      </c>
    </row>
    <row r="305" spans="1:13" s="19" customFormat="1" ht="27.95" customHeight="1" x14ac:dyDescent="0.3">
      <c r="A305" s="561" t="s">
        <v>131</v>
      </c>
      <c r="B305" s="558" t="s">
        <v>377</v>
      </c>
      <c r="C305" s="54" t="s">
        <v>27</v>
      </c>
      <c r="D305" s="69">
        <v>784</v>
      </c>
      <c r="E305" s="72">
        <f t="shared" ref="E305:M305" si="52">E307</f>
        <v>1580</v>
      </c>
      <c r="F305" s="85">
        <f t="shared" si="52"/>
        <v>0</v>
      </c>
      <c r="G305" s="85">
        <f t="shared" si="52"/>
        <v>0</v>
      </c>
      <c r="H305" s="85">
        <f t="shared" si="52"/>
        <v>0</v>
      </c>
      <c r="I305" s="72">
        <f t="shared" si="52"/>
        <v>0</v>
      </c>
      <c r="J305" s="72">
        <f t="shared" si="52"/>
        <v>0</v>
      </c>
      <c r="K305" s="72">
        <f t="shared" si="52"/>
        <v>0</v>
      </c>
      <c r="L305" s="72">
        <f t="shared" si="52"/>
        <v>0</v>
      </c>
      <c r="M305" s="85">
        <f t="shared" si="52"/>
        <v>1580</v>
      </c>
    </row>
    <row r="306" spans="1:13" s="19" customFormat="1" ht="42" customHeight="1" x14ac:dyDescent="0.3">
      <c r="A306" s="556"/>
      <c r="B306" s="559"/>
      <c r="C306" s="60" t="s">
        <v>93</v>
      </c>
      <c r="D306" s="69"/>
      <c r="E306" s="70">
        <v>0</v>
      </c>
      <c r="F306" s="70">
        <v>0</v>
      </c>
      <c r="G306" s="70">
        <v>0</v>
      </c>
      <c r="H306" s="70">
        <v>0</v>
      </c>
      <c r="I306" s="70">
        <v>0</v>
      </c>
      <c r="J306" s="70">
        <v>0</v>
      </c>
      <c r="K306" s="70">
        <v>0</v>
      </c>
      <c r="L306" s="70">
        <v>0</v>
      </c>
      <c r="M306" s="71">
        <v>0</v>
      </c>
    </row>
    <row r="307" spans="1:13" s="19" customFormat="1" ht="27.95" customHeight="1" x14ac:dyDescent="0.3">
      <c r="A307" s="556"/>
      <c r="B307" s="559"/>
      <c r="C307" s="60" t="s">
        <v>94</v>
      </c>
      <c r="D307" s="69">
        <v>784</v>
      </c>
      <c r="E307" s="70">
        <f>'Приложение 5'!H137</f>
        <v>1580</v>
      </c>
      <c r="F307" s="70">
        <f>'Приложение 5'!I137</f>
        <v>0</v>
      </c>
      <c r="G307" s="70">
        <f>'Приложение 5'!J137</f>
        <v>0</v>
      </c>
      <c r="H307" s="71">
        <f>'Приложение 5'!K136</f>
        <v>0</v>
      </c>
      <c r="I307" s="70">
        <f>'Приложение 5'!L136</f>
        <v>0</v>
      </c>
      <c r="J307" s="70">
        <f>'Приложение 5'!M136</f>
        <v>0</v>
      </c>
      <c r="K307" s="70">
        <f>'Приложение 5'!N136</f>
        <v>0</v>
      </c>
      <c r="L307" s="70">
        <f>'Приложение 5'!O136</f>
        <v>0</v>
      </c>
      <c r="M307" s="71">
        <f>'Приложение 5'!P136</f>
        <v>1580</v>
      </c>
    </row>
    <row r="308" spans="1:13" s="19" customFormat="1" ht="57" customHeight="1" x14ac:dyDescent="0.3">
      <c r="A308" s="556"/>
      <c r="B308" s="559"/>
      <c r="C308" s="59" t="s">
        <v>95</v>
      </c>
      <c r="D308" s="69"/>
      <c r="E308" s="70">
        <v>0</v>
      </c>
      <c r="F308" s="70">
        <v>0</v>
      </c>
      <c r="G308" s="70">
        <v>0</v>
      </c>
      <c r="H308" s="70">
        <v>0</v>
      </c>
      <c r="I308" s="70">
        <v>0</v>
      </c>
      <c r="J308" s="70">
        <v>0</v>
      </c>
      <c r="K308" s="70">
        <v>0</v>
      </c>
      <c r="L308" s="70">
        <v>0</v>
      </c>
      <c r="M308" s="71">
        <v>0</v>
      </c>
    </row>
    <row r="309" spans="1:13" s="19" customFormat="1" ht="83.1" customHeight="1" x14ac:dyDescent="0.3">
      <c r="A309" s="556"/>
      <c r="B309" s="559"/>
      <c r="C309" s="60" t="s">
        <v>96</v>
      </c>
      <c r="D309" s="69"/>
      <c r="E309" s="70">
        <v>0</v>
      </c>
      <c r="F309" s="70">
        <v>0</v>
      </c>
      <c r="G309" s="70">
        <v>0</v>
      </c>
      <c r="H309" s="70">
        <v>0</v>
      </c>
      <c r="I309" s="70">
        <v>0</v>
      </c>
      <c r="J309" s="70">
        <v>0</v>
      </c>
      <c r="K309" s="70">
        <v>0</v>
      </c>
      <c r="L309" s="70">
        <v>0</v>
      </c>
      <c r="M309" s="71">
        <v>0</v>
      </c>
    </row>
    <row r="310" spans="1:13" s="19" customFormat="1" ht="83.1" customHeight="1" x14ac:dyDescent="0.3">
      <c r="A310" s="556"/>
      <c r="B310" s="559"/>
      <c r="C310" s="60" t="s">
        <v>97</v>
      </c>
      <c r="D310" s="69"/>
      <c r="E310" s="70">
        <v>0</v>
      </c>
      <c r="F310" s="70">
        <v>0</v>
      </c>
      <c r="G310" s="70">
        <v>0</v>
      </c>
      <c r="H310" s="70">
        <v>0</v>
      </c>
      <c r="I310" s="70">
        <v>0</v>
      </c>
      <c r="J310" s="70">
        <v>0</v>
      </c>
      <c r="K310" s="70">
        <v>0</v>
      </c>
      <c r="L310" s="70">
        <v>0</v>
      </c>
      <c r="M310" s="71">
        <v>0</v>
      </c>
    </row>
    <row r="311" spans="1:13" s="19" customFormat="1" ht="57" customHeight="1" x14ac:dyDescent="0.3">
      <c r="A311" s="557"/>
      <c r="B311" s="560"/>
      <c r="C311" s="59" t="s">
        <v>98</v>
      </c>
      <c r="D311" s="69"/>
      <c r="E311" s="70">
        <v>0</v>
      </c>
      <c r="F311" s="70">
        <v>0</v>
      </c>
      <c r="G311" s="70">
        <v>0</v>
      </c>
      <c r="H311" s="70">
        <v>0</v>
      </c>
      <c r="I311" s="70">
        <v>0</v>
      </c>
      <c r="J311" s="70">
        <v>0</v>
      </c>
      <c r="K311" s="70">
        <v>0</v>
      </c>
      <c r="L311" s="70">
        <v>0</v>
      </c>
      <c r="M311" s="71">
        <v>0</v>
      </c>
    </row>
    <row r="312" spans="1:13" ht="27.95" customHeight="1" x14ac:dyDescent="0.3">
      <c r="A312" s="555" t="s">
        <v>211</v>
      </c>
      <c r="B312" s="565" t="s">
        <v>390</v>
      </c>
      <c r="C312" s="54" t="s">
        <v>27</v>
      </c>
      <c r="D312" s="50">
        <v>784</v>
      </c>
      <c r="E312" s="72">
        <f t="shared" ref="E312:L312" si="53">SUM(E313:E318)</f>
        <v>1580</v>
      </c>
      <c r="F312" s="85">
        <f t="shared" si="53"/>
        <v>0</v>
      </c>
      <c r="G312" s="85">
        <f t="shared" si="53"/>
        <v>0</v>
      </c>
      <c r="H312" s="85">
        <f t="shared" si="53"/>
        <v>0</v>
      </c>
      <c r="I312" s="72">
        <f t="shared" si="53"/>
        <v>0</v>
      </c>
      <c r="J312" s="72">
        <f t="shared" si="53"/>
        <v>0</v>
      </c>
      <c r="K312" s="85">
        <f t="shared" si="53"/>
        <v>0</v>
      </c>
      <c r="L312" s="85">
        <f t="shared" si="53"/>
        <v>0</v>
      </c>
      <c r="M312" s="85">
        <f>SUM(E312:I312)</f>
        <v>1580</v>
      </c>
    </row>
    <row r="313" spans="1:13" ht="42" customHeight="1" x14ac:dyDescent="0.3">
      <c r="A313" s="555"/>
      <c r="B313" s="565"/>
      <c r="C313" s="60" t="s">
        <v>93</v>
      </c>
      <c r="D313" s="50"/>
      <c r="E313" s="75">
        <v>0</v>
      </c>
      <c r="F313" s="71">
        <v>0</v>
      </c>
      <c r="G313" s="71">
        <v>0</v>
      </c>
      <c r="H313" s="71">
        <v>0</v>
      </c>
      <c r="I313" s="70">
        <v>0</v>
      </c>
      <c r="J313" s="71">
        <v>0</v>
      </c>
      <c r="K313" s="70">
        <v>0</v>
      </c>
      <c r="L313" s="71">
        <v>0</v>
      </c>
      <c r="M313" s="71">
        <f>SUM(E313:I313)</f>
        <v>0</v>
      </c>
    </row>
    <row r="314" spans="1:13" ht="27.95" customHeight="1" x14ac:dyDescent="0.3">
      <c r="A314" s="555"/>
      <c r="B314" s="565"/>
      <c r="C314" s="60" t="s">
        <v>94</v>
      </c>
      <c r="D314" s="50">
        <v>784</v>
      </c>
      <c r="E314" s="70">
        <f>'Приложение 5'!H139</f>
        <v>1580</v>
      </c>
      <c r="F314" s="71">
        <f>'Приложение 5'!I140</f>
        <v>0</v>
      </c>
      <c r="G314" s="71">
        <f>'Приложение 5'!J140</f>
        <v>0</v>
      </c>
      <c r="H314" s="71">
        <f>'Приложение 5'!K141</f>
        <v>0</v>
      </c>
      <c r="I314" s="70">
        <f>'Приложение 5'!L141</f>
        <v>0</v>
      </c>
      <c r="J314" s="70">
        <f>'Приложение 5'!M141</f>
        <v>0</v>
      </c>
      <c r="K314" s="71">
        <f>'Приложение 5'!N141</f>
        <v>0</v>
      </c>
      <c r="L314" s="71">
        <f>'Приложение 5'!O141</f>
        <v>0</v>
      </c>
      <c r="M314" s="81">
        <f>SUM(E314:I314)</f>
        <v>1580</v>
      </c>
    </row>
    <row r="315" spans="1:13" ht="57" customHeight="1" x14ac:dyDescent="0.3">
      <c r="A315" s="555"/>
      <c r="B315" s="565"/>
      <c r="C315" s="59" t="s">
        <v>95</v>
      </c>
      <c r="D315" s="50"/>
      <c r="E315" s="71">
        <v>0</v>
      </c>
      <c r="F315" s="71">
        <v>0</v>
      </c>
      <c r="G315" s="71">
        <v>0</v>
      </c>
      <c r="H315" s="71">
        <v>0</v>
      </c>
      <c r="I315" s="71">
        <v>0</v>
      </c>
      <c r="J315" s="71">
        <v>0</v>
      </c>
      <c r="K315" s="71">
        <v>0</v>
      </c>
      <c r="L315" s="71">
        <v>0</v>
      </c>
      <c r="M315" s="71">
        <f>SUM(E315:I315)</f>
        <v>0</v>
      </c>
    </row>
    <row r="316" spans="1:13" ht="83.1" customHeight="1" x14ac:dyDescent="0.3">
      <c r="A316" s="555"/>
      <c r="B316" s="565"/>
      <c r="C316" s="60" t="s">
        <v>96</v>
      </c>
      <c r="D316" s="50"/>
      <c r="E316" s="71">
        <v>0</v>
      </c>
      <c r="F316" s="71">
        <v>0</v>
      </c>
      <c r="G316" s="71">
        <v>0</v>
      </c>
      <c r="H316" s="71">
        <v>0</v>
      </c>
      <c r="I316" s="70">
        <v>0</v>
      </c>
      <c r="J316" s="70">
        <v>0</v>
      </c>
      <c r="K316" s="70">
        <v>0</v>
      </c>
      <c r="L316" s="70">
        <v>0</v>
      </c>
      <c r="M316" s="71">
        <v>0</v>
      </c>
    </row>
    <row r="317" spans="1:13" ht="83.1" customHeight="1" x14ac:dyDescent="0.3">
      <c r="A317" s="555"/>
      <c r="B317" s="565"/>
      <c r="C317" s="60" t="s">
        <v>97</v>
      </c>
      <c r="D317" s="50"/>
      <c r="E317" s="71">
        <v>0</v>
      </c>
      <c r="F317" s="71">
        <v>0</v>
      </c>
      <c r="G317" s="71">
        <v>0</v>
      </c>
      <c r="H317" s="71">
        <v>0</v>
      </c>
      <c r="I317" s="70">
        <v>0</v>
      </c>
      <c r="J317" s="70">
        <v>0</v>
      </c>
      <c r="K317" s="70">
        <v>0</v>
      </c>
      <c r="L317" s="70">
        <v>0</v>
      </c>
      <c r="M317" s="71">
        <v>0</v>
      </c>
    </row>
    <row r="318" spans="1:13" ht="57" customHeight="1" x14ac:dyDescent="0.3">
      <c r="A318" s="555"/>
      <c r="B318" s="565"/>
      <c r="C318" s="59" t="s">
        <v>98</v>
      </c>
      <c r="D318" s="50"/>
      <c r="E318" s="71">
        <v>0</v>
      </c>
      <c r="F318" s="71">
        <v>0</v>
      </c>
      <c r="G318" s="71">
        <v>0</v>
      </c>
      <c r="H318" s="71">
        <v>0</v>
      </c>
      <c r="I318" s="70">
        <v>0</v>
      </c>
      <c r="J318" s="70">
        <v>0</v>
      </c>
      <c r="K318" s="70">
        <v>0</v>
      </c>
      <c r="L318" s="70">
        <v>0</v>
      </c>
      <c r="M318" s="71">
        <v>0</v>
      </c>
    </row>
    <row r="319" spans="1:13" ht="27.95" customHeight="1" x14ac:dyDescent="0.3">
      <c r="A319" s="562" t="s">
        <v>26</v>
      </c>
      <c r="B319" s="566" t="s">
        <v>140</v>
      </c>
      <c r="C319" s="58" t="s">
        <v>27</v>
      </c>
      <c r="D319" s="106">
        <v>755</v>
      </c>
      <c r="E319" s="72">
        <f t="shared" ref="E319:L319" si="54">SUM(E320:E325)</f>
        <v>41082.01</v>
      </c>
      <c r="F319" s="72">
        <f t="shared" si="54"/>
        <v>42584.61</v>
      </c>
      <c r="G319" s="72">
        <f t="shared" si="54"/>
        <v>218673.39</v>
      </c>
      <c r="H319" s="73">
        <f t="shared" si="54"/>
        <v>212034.97</v>
      </c>
      <c r="I319" s="74">
        <f t="shared" si="54"/>
        <v>334267.92</v>
      </c>
      <c r="J319" s="72">
        <f t="shared" si="54"/>
        <v>163825.69</v>
      </c>
      <c r="K319" s="72">
        <f t="shared" si="54"/>
        <v>163825.69</v>
      </c>
      <c r="L319" s="72">
        <f t="shared" si="54"/>
        <v>163825.69</v>
      </c>
      <c r="M319" s="85">
        <f>SUM(E319:L319)</f>
        <v>1340119.97</v>
      </c>
    </row>
    <row r="320" spans="1:13" ht="42" customHeight="1" x14ac:dyDescent="0.3">
      <c r="A320" s="563"/>
      <c r="B320" s="567"/>
      <c r="C320" s="67" t="s">
        <v>93</v>
      </c>
      <c r="D320" s="107"/>
      <c r="E320" s="75">
        <f>E334+E341</f>
        <v>0</v>
      </c>
      <c r="F320" s="77">
        <f>F334+F341</f>
        <v>0</v>
      </c>
      <c r="G320" s="77">
        <f>G334+G341+G369</f>
        <v>35200</v>
      </c>
      <c r="H320" s="92">
        <f>H334+H341</f>
        <v>0</v>
      </c>
      <c r="I320" s="93">
        <f>I334+I341</f>
        <v>0</v>
      </c>
      <c r="J320" s="92">
        <f>J334+J341</f>
        <v>0</v>
      </c>
      <c r="K320" s="93">
        <f>K334+K341</f>
        <v>0</v>
      </c>
      <c r="L320" s="92">
        <f>L334+L341</f>
        <v>0</v>
      </c>
      <c r="M320" s="71">
        <f>SUM(E320:I320)</f>
        <v>35200</v>
      </c>
    </row>
    <row r="321" spans="1:13" ht="27.95" customHeight="1" x14ac:dyDescent="0.3">
      <c r="A321" s="563"/>
      <c r="B321" s="567"/>
      <c r="C321" s="67" t="s">
        <v>94</v>
      </c>
      <c r="D321" s="107">
        <v>755</v>
      </c>
      <c r="E321" s="75">
        <f>'Приложение 5'!H142</f>
        <v>41082.01</v>
      </c>
      <c r="F321" s="77">
        <f>'Приложение 5'!I142</f>
        <v>42584.61</v>
      </c>
      <c r="G321" s="77">
        <f>'Приложение 5'!J142</f>
        <v>183473.39</v>
      </c>
      <c r="H321" s="92">
        <f>'Приложение 5'!K142</f>
        <v>212034.97</v>
      </c>
      <c r="I321" s="93">
        <f>'Приложение 5'!L142</f>
        <v>334267.92</v>
      </c>
      <c r="J321" s="75">
        <f>'Приложение 5'!M142</f>
        <v>163825.69</v>
      </c>
      <c r="K321" s="77">
        <f>'Приложение 5'!N142</f>
        <v>163825.69</v>
      </c>
      <c r="L321" s="77">
        <f>'Приложение 5'!O142</f>
        <v>163825.69</v>
      </c>
      <c r="M321" s="81">
        <f>SUM(E321:L321)</f>
        <v>1304919.97</v>
      </c>
    </row>
    <row r="322" spans="1:13" ht="57" customHeight="1" x14ac:dyDescent="0.3">
      <c r="A322" s="563"/>
      <c r="B322" s="567"/>
      <c r="C322" s="67" t="s">
        <v>95</v>
      </c>
      <c r="D322" s="107"/>
      <c r="E322" s="75">
        <f t="shared" ref="E322:I323" si="55">E336+E343</f>
        <v>0</v>
      </c>
      <c r="F322" s="77">
        <f t="shared" si="55"/>
        <v>0</v>
      </c>
      <c r="G322" s="77">
        <f t="shared" si="55"/>
        <v>0</v>
      </c>
      <c r="H322" s="92">
        <f t="shared" si="55"/>
        <v>0</v>
      </c>
      <c r="I322" s="93">
        <f t="shared" si="55"/>
        <v>0</v>
      </c>
      <c r="J322" s="93">
        <f t="shared" ref="J322:L323" si="56">J336+J343</f>
        <v>0</v>
      </c>
      <c r="K322" s="93">
        <f t="shared" si="56"/>
        <v>0</v>
      </c>
      <c r="L322" s="93">
        <f t="shared" si="56"/>
        <v>0</v>
      </c>
      <c r="M322" s="71">
        <f>SUM(E322:I322)</f>
        <v>0</v>
      </c>
    </row>
    <row r="323" spans="1:13" ht="83.1" customHeight="1" x14ac:dyDescent="0.3">
      <c r="A323" s="563"/>
      <c r="B323" s="567"/>
      <c r="C323" s="67" t="s">
        <v>96</v>
      </c>
      <c r="D323" s="107"/>
      <c r="E323" s="75">
        <f t="shared" si="55"/>
        <v>0</v>
      </c>
      <c r="F323" s="77">
        <f t="shared" si="55"/>
        <v>0</v>
      </c>
      <c r="G323" s="77">
        <f t="shared" si="55"/>
        <v>0</v>
      </c>
      <c r="H323" s="92">
        <f t="shared" si="55"/>
        <v>0</v>
      </c>
      <c r="I323" s="93">
        <f t="shared" si="55"/>
        <v>0</v>
      </c>
      <c r="J323" s="93">
        <f t="shared" si="56"/>
        <v>0</v>
      </c>
      <c r="K323" s="93">
        <f t="shared" si="56"/>
        <v>0</v>
      </c>
      <c r="L323" s="93">
        <f t="shared" si="56"/>
        <v>0</v>
      </c>
      <c r="M323" s="92">
        <f>M337+M344</f>
        <v>0</v>
      </c>
    </row>
    <row r="324" spans="1:13" ht="83.1" customHeight="1" x14ac:dyDescent="0.3">
      <c r="A324" s="563"/>
      <c r="B324" s="567"/>
      <c r="C324" s="67" t="s">
        <v>97</v>
      </c>
      <c r="D324" s="107"/>
      <c r="E324" s="75">
        <v>0</v>
      </c>
      <c r="F324" s="77">
        <v>0</v>
      </c>
      <c r="G324" s="77">
        <v>0</v>
      </c>
      <c r="H324" s="92">
        <v>0</v>
      </c>
      <c r="I324" s="93">
        <v>0</v>
      </c>
      <c r="J324" s="92">
        <v>0</v>
      </c>
      <c r="K324" s="93">
        <v>0</v>
      </c>
      <c r="L324" s="92">
        <v>0</v>
      </c>
      <c r="M324" s="92">
        <v>0</v>
      </c>
    </row>
    <row r="325" spans="1:13" ht="57" customHeight="1" x14ac:dyDescent="0.3">
      <c r="A325" s="564"/>
      <c r="B325" s="568"/>
      <c r="C325" s="67" t="s">
        <v>98</v>
      </c>
      <c r="D325" s="107"/>
      <c r="E325" s="75">
        <f t="shared" ref="E325:M325" si="57">E338+E345</f>
        <v>0</v>
      </c>
      <c r="F325" s="75">
        <f t="shared" si="57"/>
        <v>0</v>
      </c>
      <c r="G325" s="75">
        <f t="shared" si="57"/>
        <v>0</v>
      </c>
      <c r="H325" s="92">
        <f t="shared" si="57"/>
        <v>0</v>
      </c>
      <c r="I325" s="93">
        <f t="shared" si="57"/>
        <v>0</v>
      </c>
      <c r="J325" s="93">
        <f>J338+J345</f>
        <v>0</v>
      </c>
      <c r="K325" s="93">
        <f>K338+K345</f>
        <v>0</v>
      </c>
      <c r="L325" s="93">
        <f>L338+L345</f>
        <v>0</v>
      </c>
      <c r="M325" s="92">
        <f t="shared" si="57"/>
        <v>0</v>
      </c>
    </row>
    <row r="326" spans="1:13" ht="27.95" customHeight="1" x14ac:dyDescent="0.3">
      <c r="A326" s="562" t="s">
        <v>2</v>
      </c>
      <c r="B326" s="558" t="s">
        <v>378</v>
      </c>
      <c r="C326" s="58" t="s">
        <v>27</v>
      </c>
      <c r="D326" s="107">
        <v>755</v>
      </c>
      <c r="E326" s="94">
        <f>SUM(E327:E332)</f>
        <v>41082.01</v>
      </c>
      <c r="F326" s="94">
        <f t="shared" ref="F326:L326" si="58">SUM(F327:F332)</f>
        <v>39011.83</v>
      </c>
      <c r="G326" s="94">
        <f t="shared" si="58"/>
        <v>33744.9</v>
      </c>
      <c r="H326" s="94">
        <f t="shared" si="58"/>
        <v>35789.519999999997</v>
      </c>
      <c r="I326" s="94">
        <f t="shared" si="58"/>
        <v>29812.44</v>
      </c>
      <c r="J326" s="94">
        <f t="shared" si="58"/>
        <v>28529.72</v>
      </c>
      <c r="K326" s="94">
        <f t="shared" si="58"/>
        <v>28529.72</v>
      </c>
      <c r="L326" s="94">
        <f t="shared" si="58"/>
        <v>28529.72</v>
      </c>
      <c r="M326" s="96">
        <f>SUM(E326:L326)</f>
        <v>265029.86</v>
      </c>
    </row>
    <row r="327" spans="1:13" ht="42" customHeight="1" x14ac:dyDescent="0.3">
      <c r="A327" s="563"/>
      <c r="B327" s="559"/>
      <c r="C327" s="67" t="s">
        <v>93</v>
      </c>
      <c r="D327" s="107"/>
      <c r="E327" s="75">
        <v>0</v>
      </c>
      <c r="F327" s="75">
        <v>0</v>
      </c>
      <c r="G327" s="75">
        <v>0</v>
      </c>
      <c r="H327" s="75">
        <v>0</v>
      </c>
      <c r="I327" s="75">
        <v>0</v>
      </c>
      <c r="J327" s="75">
        <v>0</v>
      </c>
      <c r="K327" s="75">
        <v>0</v>
      </c>
      <c r="L327" s="75">
        <v>0</v>
      </c>
      <c r="M327" s="91">
        <v>0</v>
      </c>
    </row>
    <row r="328" spans="1:13" ht="27.95" customHeight="1" x14ac:dyDescent="0.3">
      <c r="A328" s="563"/>
      <c r="B328" s="559"/>
      <c r="C328" s="67" t="s">
        <v>94</v>
      </c>
      <c r="D328" s="107">
        <v>755</v>
      </c>
      <c r="E328" s="75">
        <f>'Приложение 5'!H146</f>
        <v>41082.01</v>
      </c>
      <c r="F328" s="75">
        <f>'Приложение 5'!I146</f>
        <v>39011.83</v>
      </c>
      <c r="G328" s="75">
        <f>'Приложение 5'!J146</f>
        <v>33744.9</v>
      </c>
      <c r="H328" s="92">
        <f>'Приложение 5'!K145</f>
        <v>35789.519999999997</v>
      </c>
      <c r="I328" s="93">
        <f>'Приложение 5'!L145</f>
        <v>29812.44</v>
      </c>
      <c r="J328" s="93">
        <f>'Приложение 5'!M145</f>
        <v>28529.72</v>
      </c>
      <c r="K328" s="93">
        <f>'Приложение 5'!N145</f>
        <v>28529.72</v>
      </c>
      <c r="L328" s="93">
        <f>'Приложение 5'!O145</f>
        <v>28529.72</v>
      </c>
      <c r="M328" s="92">
        <f>'Приложение 5'!P145</f>
        <v>265029.86</v>
      </c>
    </row>
    <row r="329" spans="1:13" ht="57" customHeight="1" x14ac:dyDescent="0.3">
      <c r="A329" s="563"/>
      <c r="B329" s="559"/>
      <c r="C329" s="67" t="s">
        <v>95</v>
      </c>
      <c r="D329" s="107"/>
      <c r="E329" s="75">
        <v>0</v>
      </c>
      <c r="F329" s="75">
        <v>0</v>
      </c>
      <c r="G329" s="75">
        <v>0</v>
      </c>
      <c r="H329" s="75">
        <v>0</v>
      </c>
      <c r="I329" s="75">
        <v>0</v>
      </c>
      <c r="J329" s="75">
        <v>0</v>
      </c>
      <c r="K329" s="75">
        <v>0</v>
      </c>
      <c r="L329" s="75">
        <v>0</v>
      </c>
      <c r="M329" s="91">
        <v>0</v>
      </c>
    </row>
    <row r="330" spans="1:13" ht="83.1" customHeight="1" x14ac:dyDescent="0.3">
      <c r="A330" s="563"/>
      <c r="B330" s="559"/>
      <c r="C330" s="67" t="s">
        <v>96</v>
      </c>
      <c r="D330" s="107"/>
      <c r="E330" s="75">
        <v>0</v>
      </c>
      <c r="F330" s="75">
        <v>0</v>
      </c>
      <c r="G330" s="75">
        <v>0</v>
      </c>
      <c r="H330" s="75">
        <v>0</v>
      </c>
      <c r="I330" s="75">
        <v>0</v>
      </c>
      <c r="J330" s="75">
        <v>0</v>
      </c>
      <c r="K330" s="75">
        <v>0</v>
      </c>
      <c r="L330" s="75">
        <v>0</v>
      </c>
      <c r="M330" s="91">
        <v>0</v>
      </c>
    </row>
    <row r="331" spans="1:13" ht="83.1" customHeight="1" x14ac:dyDescent="0.3">
      <c r="A331" s="563"/>
      <c r="B331" s="559"/>
      <c r="C331" s="67" t="s">
        <v>97</v>
      </c>
      <c r="D331" s="50"/>
      <c r="E331" s="91">
        <v>0</v>
      </c>
      <c r="F331" s="91">
        <v>0</v>
      </c>
      <c r="G331" s="91">
        <v>0</v>
      </c>
      <c r="H331" s="91">
        <v>0</v>
      </c>
      <c r="I331" s="91">
        <v>0</v>
      </c>
      <c r="J331" s="91">
        <v>0</v>
      </c>
      <c r="K331" s="91">
        <v>0</v>
      </c>
      <c r="L331" s="91">
        <v>0</v>
      </c>
      <c r="M331" s="91">
        <v>0</v>
      </c>
    </row>
    <row r="332" spans="1:13" ht="57" customHeight="1" x14ac:dyDescent="0.3">
      <c r="A332" s="564"/>
      <c r="B332" s="560"/>
      <c r="C332" s="67" t="s">
        <v>98</v>
      </c>
      <c r="D332" s="107"/>
      <c r="E332" s="75">
        <v>0</v>
      </c>
      <c r="F332" s="75">
        <v>0</v>
      </c>
      <c r="G332" s="75">
        <v>0</v>
      </c>
      <c r="H332" s="75">
        <v>0</v>
      </c>
      <c r="I332" s="75">
        <v>0</v>
      </c>
      <c r="J332" s="75">
        <v>0</v>
      </c>
      <c r="K332" s="75">
        <v>0</v>
      </c>
      <c r="L332" s="75">
        <v>0</v>
      </c>
      <c r="M332" s="91">
        <v>0</v>
      </c>
    </row>
    <row r="333" spans="1:13" ht="27.95" customHeight="1" x14ac:dyDescent="0.3">
      <c r="A333" s="555" t="s">
        <v>212</v>
      </c>
      <c r="B333" s="565" t="s">
        <v>69</v>
      </c>
      <c r="C333" s="54" t="s">
        <v>27</v>
      </c>
      <c r="D333" s="69">
        <v>755</v>
      </c>
      <c r="E333" s="72">
        <f t="shared" ref="E333:L333" si="59">SUM(E334:E339)</f>
        <v>39059.11</v>
      </c>
      <c r="F333" s="85">
        <f t="shared" si="59"/>
        <v>39011.83</v>
      </c>
      <c r="G333" s="85">
        <f t="shared" si="59"/>
        <v>32462.18</v>
      </c>
      <c r="H333" s="85">
        <f t="shared" si="59"/>
        <v>32888.07</v>
      </c>
      <c r="I333" s="72">
        <f t="shared" si="59"/>
        <v>28379.72</v>
      </c>
      <c r="J333" s="72">
        <f t="shared" si="59"/>
        <v>28429.72</v>
      </c>
      <c r="K333" s="85">
        <f t="shared" si="59"/>
        <v>28429.72</v>
      </c>
      <c r="L333" s="85">
        <f t="shared" si="59"/>
        <v>28429.72</v>
      </c>
      <c r="M333" s="85">
        <f>SUM(E333:L333)</f>
        <v>257090.07</v>
      </c>
    </row>
    <row r="334" spans="1:13" ht="42" customHeight="1" x14ac:dyDescent="0.3">
      <c r="A334" s="555"/>
      <c r="B334" s="565"/>
      <c r="C334" s="60" t="s">
        <v>93</v>
      </c>
      <c r="D334" s="69"/>
      <c r="E334" s="75">
        <v>0</v>
      </c>
      <c r="F334" s="71">
        <v>0</v>
      </c>
      <c r="G334" s="71">
        <v>0</v>
      </c>
      <c r="H334" s="71">
        <v>0</v>
      </c>
      <c r="I334" s="70">
        <v>0</v>
      </c>
      <c r="J334" s="71">
        <v>0</v>
      </c>
      <c r="K334" s="70">
        <v>0</v>
      </c>
      <c r="L334" s="71">
        <v>0</v>
      </c>
      <c r="M334" s="71">
        <f>SUM(E334:I334)</f>
        <v>0</v>
      </c>
    </row>
    <row r="335" spans="1:13" ht="27.95" customHeight="1" x14ac:dyDescent="0.3">
      <c r="A335" s="555"/>
      <c r="B335" s="565"/>
      <c r="C335" s="60" t="s">
        <v>94</v>
      </c>
      <c r="D335" s="69">
        <v>755</v>
      </c>
      <c r="E335" s="70">
        <f>'Приложение 5'!H148</f>
        <v>39059.11</v>
      </c>
      <c r="F335" s="71">
        <f>'Приложение 5'!I149</f>
        <v>39011.83</v>
      </c>
      <c r="G335" s="71">
        <f>'Приложение 5'!J149</f>
        <v>32462.18</v>
      </c>
      <c r="H335" s="71">
        <f>'Приложение 5'!K150</f>
        <v>32888.07</v>
      </c>
      <c r="I335" s="70">
        <f>'Приложение 5'!L150</f>
        <v>28379.72</v>
      </c>
      <c r="J335" s="70">
        <f>'Приложение 5'!M150</f>
        <v>28429.72</v>
      </c>
      <c r="K335" s="71">
        <f>'Приложение 5'!N150</f>
        <v>28429.72</v>
      </c>
      <c r="L335" s="71">
        <f>'Приложение 5'!O150</f>
        <v>28429.72</v>
      </c>
      <c r="M335" s="81">
        <f>SUM(E335:L335)</f>
        <v>257090.07</v>
      </c>
    </row>
    <row r="336" spans="1:13" ht="57" customHeight="1" x14ac:dyDescent="0.3">
      <c r="A336" s="555"/>
      <c r="B336" s="565"/>
      <c r="C336" s="59" t="s">
        <v>95</v>
      </c>
      <c r="D336" s="69"/>
      <c r="E336" s="70">
        <v>0</v>
      </c>
      <c r="F336" s="71">
        <v>0</v>
      </c>
      <c r="G336" s="71">
        <v>0</v>
      </c>
      <c r="H336" s="71">
        <v>0</v>
      </c>
      <c r="I336" s="70">
        <v>0</v>
      </c>
      <c r="J336" s="70">
        <v>0</v>
      </c>
      <c r="K336" s="70">
        <v>0</v>
      </c>
      <c r="L336" s="70">
        <v>0</v>
      </c>
      <c r="M336" s="71">
        <f>SUM(E336:I336)</f>
        <v>0</v>
      </c>
    </row>
    <row r="337" spans="1:13" ht="83.1" customHeight="1" x14ac:dyDescent="0.3">
      <c r="A337" s="555"/>
      <c r="B337" s="565"/>
      <c r="C337" s="60" t="s">
        <v>96</v>
      </c>
      <c r="D337" s="69"/>
      <c r="E337" s="71">
        <v>0</v>
      </c>
      <c r="F337" s="71">
        <v>0</v>
      </c>
      <c r="G337" s="71">
        <v>0</v>
      </c>
      <c r="H337" s="71">
        <v>0</v>
      </c>
      <c r="I337" s="70">
        <v>0</v>
      </c>
      <c r="J337" s="70">
        <v>0</v>
      </c>
      <c r="K337" s="70">
        <v>0</v>
      </c>
      <c r="L337" s="70">
        <v>0</v>
      </c>
      <c r="M337" s="71">
        <v>0</v>
      </c>
    </row>
    <row r="338" spans="1:13" ht="83.1" customHeight="1" x14ac:dyDescent="0.3">
      <c r="A338" s="555"/>
      <c r="B338" s="565"/>
      <c r="C338" s="60" t="s">
        <v>97</v>
      </c>
      <c r="D338" s="69"/>
      <c r="E338" s="71">
        <v>0</v>
      </c>
      <c r="F338" s="71">
        <v>0</v>
      </c>
      <c r="G338" s="71">
        <v>0</v>
      </c>
      <c r="H338" s="71">
        <v>0</v>
      </c>
      <c r="I338" s="70">
        <v>0</v>
      </c>
      <c r="J338" s="70">
        <v>0</v>
      </c>
      <c r="K338" s="70">
        <v>0</v>
      </c>
      <c r="L338" s="70">
        <v>0</v>
      </c>
      <c r="M338" s="71">
        <v>0</v>
      </c>
    </row>
    <row r="339" spans="1:13" ht="57" customHeight="1" x14ac:dyDescent="0.3">
      <c r="A339" s="555"/>
      <c r="B339" s="565"/>
      <c r="C339" s="59" t="s">
        <v>98</v>
      </c>
      <c r="D339" s="69"/>
      <c r="E339" s="71">
        <v>0</v>
      </c>
      <c r="F339" s="71">
        <v>0</v>
      </c>
      <c r="G339" s="71">
        <v>0</v>
      </c>
      <c r="H339" s="71">
        <v>0</v>
      </c>
      <c r="I339" s="70">
        <v>0</v>
      </c>
      <c r="J339" s="70">
        <v>0</v>
      </c>
      <c r="K339" s="70">
        <v>0</v>
      </c>
      <c r="L339" s="70">
        <v>0</v>
      </c>
      <c r="M339" s="71">
        <v>0</v>
      </c>
    </row>
    <row r="340" spans="1:13" ht="27.95" customHeight="1" x14ac:dyDescent="0.3">
      <c r="A340" s="555" t="s">
        <v>213</v>
      </c>
      <c r="B340" s="565" t="s">
        <v>71</v>
      </c>
      <c r="C340" s="54" t="s">
        <v>27</v>
      </c>
      <c r="D340" s="69">
        <v>755</v>
      </c>
      <c r="E340" s="72">
        <f t="shared" ref="E340:L340" si="60">SUM(E341:E346)</f>
        <v>2022.9</v>
      </c>
      <c r="F340" s="85">
        <f t="shared" si="60"/>
        <v>0</v>
      </c>
      <c r="G340" s="85">
        <f t="shared" si="60"/>
        <v>1282.72</v>
      </c>
      <c r="H340" s="85">
        <f t="shared" si="60"/>
        <v>1301.45</v>
      </c>
      <c r="I340" s="72">
        <f t="shared" si="60"/>
        <v>1332.72</v>
      </c>
      <c r="J340" s="72">
        <f t="shared" si="60"/>
        <v>0</v>
      </c>
      <c r="K340" s="85">
        <f t="shared" si="60"/>
        <v>0</v>
      </c>
      <c r="L340" s="85">
        <f t="shared" si="60"/>
        <v>0</v>
      </c>
      <c r="M340" s="85">
        <f>SUM(E340:L340)</f>
        <v>5939.79</v>
      </c>
    </row>
    <row r="341" spans="1:13" ht="42" customHeight="1" x14ac:dyDescent="0.3">
      <c r="A341" s="555"/>
      <c r="B341" s="565"/>
      <c r="C341" s="60" t="s">
        <v>93</v>
      </c>
      <c r="D341" s="69"/>
      <c r="E341" s="75">
        <v>0</v>
      </c>
      <c r="F341" s="71">
        <v>0</v>
      </c>
      <c r="G341" s="71">
        <v>0</v>
      </c>
      <c r="H341" s="71">
        <v>0</v>
      </c>
      <c r="I341" s="70">
        <v>0</v>
      </c>
      <c r="J341" s="71">
        <v>0</v>
      </c>
      <c r="K341" s="70">
        <v>0</v>
      </c>
      <c r="L341" s="71">
        <v>0</v>
      </c>
      <c r="M341" s="71">
        <f>SUM(E341:I341)</f>
        <v>0</v>
      </c>
    </row>
    <row r="342" spans="1:13" ht="27.95" customHeight="1" x14ac:dyDescent="0.3">
      <c r="A342" s="555"/>
      <c r="B342" s="565"/>
      <c r="C342" s="60" t="s">
        <v>94</v>
      </c>
      <c r="D342" s="69">
        <v>755</v>
      </c>
      <c r="E342" s="70">
        <f>'Приложение 5'!H151</f>
        <v>2022.9</v>
      </c>
      <c r="F342" s="71">
        <f>'Приложение 5'!I152</f>
        <v>0</v>
      </c>
      <c r="G342" s="71">
        <f>'Приложение 5'!J152</f>
        <v>1282.72</v>
      </c>
      <c r="H342" s="71">
        <f>'Приложение 5'!K154+'Приложение 5'!K153</f>
        <v>1301.45</v>
      </c>
      <c r="I342" s="71">
        <f>'Приложение 5'!L154+'Приложение 5'!L153</f>
        <v>1332.72</v>
      </c>
      <c r="J342" s="71">
        <f>'Приложение 5'!M154+'Приложение 5'!M153</f>
        <v>0</v>
      </c>
      <c r="K342" s="71">
        <f>'Приложение 5'!N154+'Приложение 5'!N153</f>
        <v>0</v>
      </c>
      <c r="L342" s="71">
        <f>'Приложение 5'!O154+'Приложение 5'!O153</f>
        <v>0</v>
      </c>
      <c r="M342" s="81">
        <f>SUM(E342:L342)</f>
        <v>5939.79</v>
      </c>
    </row>
    <row r="343" spans="1:13" ht="57" customHeight="1" x14ac:dyDescent="0.3">
      <c r="A343" s="555"/>
      <c r="B343" s="565"/>
      <c r="C343" s="59" t="s">
        <v>95</v>
      </c>
      <c r="D343" s="69"/>
      <c r="E343" s="70">
        <v>0</v>
      </c>
      <c r="F343" s="71">
        <v>0</v>
      </c>
      <c r="G343" s="71">
        <v>0</v>
      </c>
      <c r="H343" s="71">
        <v>0</v>
      </c>
      <c r="I343" s="70">
        <v>0</v>
      </c>
      <c r="J343" s="70">
        <v>0</v>
      </c>
      <c r="K343" s="70">
        <v>0</v>
      </c>
      <c r="L343" s="70">
        <v>0</v>
      </c>
      <c r="M343" s="71">
        <f>SUM(E343:I343)</f>
        <v>0</v>
      </c>
    </row>
    <row r="344" spans="1:13" ht="83.1" customHeight="1" x14ac:dyDescent="0.3">
      <c r="A344" s="555"/>
      <c r="B344" s="565"/>
      <c r="C344" s="60" t="s">
        <v>96</v>
      </c>
      <c r="D344" s="69"/>
      <c r="E344" s="71">
        <v>0</v>
      </c>
      <c r="F344" s="71">
        <v>0</v>
      </c>
      <c r="G344" s="71">
        <v>0</v>
      </c>
      <c r="H344" s="71">
        <v>0</v>
      </c>
      <c r="I344" s="70">
        <v>0</v>
      </c>
      <c r="J344" s="70">
        <v>0</v>
      </c>
      <c r="K344" s="70">
        <v>0</v>
      </c>
      <c r="L344" s="70">
        <v>0</v>
      </c>
      <c r="M344" s="71">
        <v>0</v>
      </c>
    </row>
    <row r="345" spans="1:13" ht="83.1" customHeight="1" x14ac:dyDescent="0.3">
      <c r="A345" s="555"/>
      <c r="B345" s="565"/>
      <c r="C345" s="60" t="s">
        <v>97</v>
      </c>
      <c r="D345" s="69"/>
      <c r="E345" s="71">
        <v>0</v>
      </c>
      <c r="F345" s="71">
        <v>0</v>
      </c>
      <c r="G345" s="71">
        <v>0</v>
      </c>
      <c r="H345" s="71">
        <v>0</v>
      </c>
      <c r="I345" s="70">
        <v>0</v>
      </c>
      <c r="J345" s="70">
        <v>0</v>
      </c>
      <c r="K345" s="70">
        <v>0</v>
      </c>
      <c r="L345" s="70">
        <v>0</v>
      </c>
      <c r="M345" s="71">
        <v>0</v>
      </c>
    </row>
    <row r="346" spans="1:13" ht="57" customHeight="1" x14ac:dyDescent="0.3">
      <c r="A346" s="555"/>
      <c r="B346" s="565"/>
      <c r="C346" s="59" t="s">
        <v>98</v>
      </c>
      <c r="D346" s="69"/>
      <c r="E346" s="71">
        <v>0</v>
      </c>
      <c r="F346" s="71">
        <v>0</v>
      </c>
      <c r="G346" s="71">
        <v>0</v>
      </c>
      <c r="H346" s="71">
        <v>0</v>
      </c>
      <c r="I346" s="70">
        <v>0</v>
      </c>
      <c r="J346" s="70">
        <v>0</v>
      </c>
      <c r="K346" s="70">
        <v>0</v>
      </c>
      <c r="L346" s="70">
        <v>0</v>
      </c>
      <c r="M346" s="71">
        <v>0</v>
      </c>
    </row>
    <row r="347" spans="1:13" ht="27.95" customHeight="1" x14ac:dyDescent="0.3">
      <c r="A347" s="555" t="s">
        <v>257</v>
      </c>
      <c r="B347" s="565" t="s">
        <v>409</v>
      </c>
      <c r="C347" s="54" t="s">
        <v>27</v>
      </c>
      <c r="D347" s="69">
        <v>755</v>
      </c>
      <c r="E347" s="72">
        <f t="shared" ref="E347:L347" si="61">SUM(E348:E353)</f>
        <v>0</v>
      </c>
      <c r="F347" s="85">
        <f t="shared" si="61"/>
        <v>0</v>
      </c>
      <c r="G347" s="85">
        <f t="shared" si="61"/>
        <v>0</v>
      </c>
      <c r="H347" s="85">
        <f t="shared" si="61"/>
        <v>100</v>
      </c>
      <c r="I347" s="72">
        <f t="shared" si="61"/>
        <v>100</v>
      </c>
      <c r="J347" s="72">
        <f t="shared" si="61"/>
        <v>100</v>
      </c>
      <c r="K347" s="85">
        <f t="shared" si="61"/>
        <v>100</v>
      </c>
      <c r="L347" s="85">
        <f t="shared" si="61"/>
        <v>100</v>
      </c>
      <c r="M347" s="85">
        <f>SUM(E347:L347)</f>
        <v>500</v>
      </c>
    </row>
    <row r="348" spans="1:13" ht="42" customHeight="1" x14ac:dyDescent="0.3">
      <c r="A348" s="555"/>
      <c r="B348" s="565"/>
      <c r="C348" s="60" t="s">
        <v>93</v>
      </c>
      <c r="D348" s="69"/>
      <c r="E348" s="75">
        <v>0</v>
      </c>
      <c r="F348" s="71">
        <v>0</v>
      </c>
      <c r="G348" s="71">
        <v>0</v>
      </c>
      <c r="H348" s="71">
        <v>0</v>
      </c>
      <c r="I348" s="70">
        <v>0</v>
      </c>
      <c r="J348" s="71">
        <v>0</v>
      </c>
      <c r="K348" s="70">
        <v>0</v>
      </c>
      <c r="L348" s="71">
        <v>0</v>
      </c>
      <c r="M348" s="71">
        <f>SUM(E348:I348)</f>
        <v>0</v>
      </c>
    </row>
    <row r="349" spans="1:13" ht="27.95" customHeight="1" x14ac:dyDescent="0.3">
      <c r="A349" s="555"/>
      <c r="B349" s="565"/>
      <c r="C349" s="59" t="s">
        <v>94</v>
      </c>
      <c r="D349" s="69">
        <v>755</v>
      </c>
      <c r="E349" s="71">
        <f>'Приложение 5'!H155</f>
        <v>0</v>
      </c>
      <c r="F349" s="71">
        <f>'Приложение 5'!I155</f>
        <v>0</v>
      </c>
      <c r="G349" s="71">
        <f>'Приложение 5'!J155</f>
        <v>0</v>
      </c>
      <c r="H349" s="71">
        <f>'Приложение 5'!K155</f>
        <v>100</v>
      </c>
      <c r="I349" s="71">
        <f>'Приложение 5'!L155</f>
        <v>100</v>
      </c>
      <c r="J349" s="71">
        <f>'Приложение 5'!M155</f>
        <v>100</v>
      </c>
      <c r="K349" s="71">
        <f>'Приложение 5'!N155</f>
        <v>100</v>
      </c>
      <c r="L349" s="71">
        <f>'Приложение 5'!O155</f>
        <v>100</v>
      </c>
      <c r="M349" s="71">
        <f>'Приложение 5'!P149</f>
        <v>0</v>
      </c>
    </row>
    <row r="350" spans="1:13" ht="61.5" customHeight="1" x14ac:dyDescent="0.3">
      <c r="A350" s="555"/>
      <c r="B350" s="565"/>
      <c r="C350" s="59" t="s">
        <v>95</v>
      </c>
      <c r="D350" s="69"/>
      <c r="E350" s="70">
        <v>0</v>
      </c>
      <c r="F350" s="71">
        <v>0</v>
      </c>
      <c r="G350" s="71">
        <v>0</v>
      </c>
      <c r="H350" s="71">
        <v>0</v>
      </c>
      <c r="I350" s="70">
        <v>0</v>
      </c>
      <c r="J350" s="70">
        <v>0</v>
      </c>
      <c r="K350" s="70">
        <v>0</v>
      </c>
      <c r="L350" s="70">
        <v>0</v>
      </c>
      <c r="M350" s="71">
        <f>SUM(E350:I350)</f>
        <v>0</v>
      </c>
    </row>
    <row r="351" spans="1:13" ht="87" customHeight="1" x14ac:dyDescent="0.3">
      <c r="A351" s="555"/>
      <c r="B351" s="565"/>
      <c r="C351" s="60" t="s">
        <v>96</v>
      </c>
      <c r="D351" s="69"/>
      <c r="E351" s="71">
        <v>0</v>
      </c>
      <c r="F351" s="71">
        <v>0</v>
      </c>
      <c r="G351" s="71">
        <v>0</v>
      </c>
      <c r="H351" s="71">
        <v>0</v>
      </c>
      <c r="I351" s="70">
        <v>0</v>
      </c>
      <c r="J351" s="70">
        <v>0</v>
      </c>
      <c r="K351" s="70">
        <v>0</v>
      </c>
      <c r="L351" s="70">
        <v>0</v>
      </c>
      <c r="M351" s="71">
        <v>0</v>
      </c>
    </row>
    <row r="352" spans="1:13" ht="89.25" customHeight="1" x14ac:dyDescent="0.3">
      <c r="A352" s="555"/>
      <c r="B352" s="565"/>
      <c r="C352" s="60" t="s">
        <v>97</v>
      </c>
      <c r="D352" s="69"/>
      <c r="E352" s="71">
        <v>0</v>
      </c>
      <c r="F352" s="71">
        <v>0</v>
      </c>
      <c r="G352" s="71">
        <v>0</v>
      </c>
      <c r="H352" s="71">
        <v>0</v>
      </c>
      <c r="I352" s="70">
        <v>0</v>
      </c>
      <c r="J352" s="70">
        <v>0</v>
      </c>
      <c r="K352" s="70">
        <v>0</v>
      </c>
      <c r="L352" s="70">
        <v>0</v>
      </c>
      <c r="M352" s="71">
        <v>0</v>
      </c>
    </row>
    <row r="353" spans="1:13" ht="57" customHeight="1" x14ac:dyDescent="0.3">
      <c r="A353" s="555"/>
      <c r="B353" s="565"/>
      <c r="C353" s="59" t="s">
        <v>98</v>
      </c>
      <c r="D353" s="69"/>
      <c r="E353" s="71">
        <v>0</v>
      </c>
      <c r="F353" s="71">
        <v>0</v>
      </c>
      <c r="G353" s="71">
        <v>0</v>
      </c>
      <c r="H353" s="71">
        <v>0</v>
      </c>
      <c r="I353" s="70">
        <v>0</v>
      </c>
      <c r="J353" s="70">
        <v>0</v>
      </c>
      <c r="K353" s="70">
        <v>0</v>
      </c>
      <c r="L353" s="70">
        <v>0</v>
      </c>
      <c r="M353" s="71">
        <v>0</v>
      </c>
    </row>
    <row r="354" spans="1:13" ht="27.95" customHeight="1" x14ac:dyDescent="0.3">
      <c r="A354" s="555" t="s">
        <v>339</v>
      </c>
      <c r="B354" s="565" t="s">
        <v>344</v>
      </c>
      <c r="C354" s="54" t="s">
        <v>27</v>
      </c>
      <c r="D354" s="69">
        <v>755</v>
      </c>
      <c r="E354" s="72">
        <f t="shared" ref="E354:L354" si="62">SUM(E355:E360)</f>
        <v>0</v>
      </c>
      <c r="F354" s="85">
        <f t="shared" si="62"/>
        <v>0</v>
      </c>
      <c r="G354" s="85">
        <f t="shared" si="62"/>
        <v>0</v>
      </c>
      <c r="H354" s="85">
        <f t="shared" si="62"/>
        <v>1500</v>
      </c>
      <c r="I354" s="72">
        <f t="shared" si="62"/>
        <v>0</v>
      </c>
      <c r="J354" s="72">
        <f t="shared" si="62"/>
        <v>0</v>
      </c>
      <c r="K354" s="85">
        <f t="shared" si="62"/>
        <v>0</v>
      </c>
      <c r="L354" s="85">
        <f t="shared" si="62"/>
        <v>0</v>
      </c>
      <c r="M354" s="85">
        <f>SUM(E354:L354)</f>
        <v>1500</v>
      </c>
    </row>
    <row r="355" spans="1:13" ht="42" customHeight="1" x14ac:dyDescent="0.3">
      <c r="A355" s="555"/>
      <c r="B355" s="565"/>
      <c r="C355" s="60" t="s">
        <v>93</v>
      </c>
      <c r="D355" s="69"/>
      <c r="E355" s="75">
        <v>0</v>
      </c>
      <c r="F355" s="71">
        <v>0</v>
      </c>
      <c r="G355" s="71">
        <v>0</v>
      </c>
      <c r="H355" s="71">
        <v>0</v>
      </c>
      <c r="I355" s="70">
        <v>0</v>
      </c>
      <c r="J355" s="71">
        <v>0</v>
      </c>
      <c r="K355" s="70">
        <v>0</v>
      </c>
      <c r="L355" s="71">
        <v>0</v>
      </c>
      <c r="M355" s="71">
        <f>SUM(E355:I355)</f>
        <v>0</v>
      </c>
    </row>
    <row r="356" spans="1:13" ht="27.95" customHeight="1" x14ac:dyDescent="0.3">
      <c r="A356" s="555"/>
      <c r="B356" s="565"/>
      <c r="C356" s="60" t="s">
        <v>94</v>
      </c>
      <c r="D356" s="69">
        <v>755</v>
      </c>
      <c r="E356" s="70">
        <f>'Приложение 5'!H156</f>
        <v>0</v>
      </c>
      <c r="F356" s="70">
        <f>'Приложение 5'!I156</f>
        <v>0</v>
      </c>
      <c r="G356" s="70">
        <f>'Приложение 5'!J156</f>
        <v>0</v>
      </c>
      <c r="H356" s="70">
        <f>'Приложение 5'!K156</f>
        <v>1500</v>
      </c>
      <c r="I356" s="70">
        <f>'Приложение 5'!L156</f>
        <v>0</v>
      </c>
      <c r="J356" s="70">
        <f>'Приложение 5'!M156</f>
        <v>0</v>
      </c>
      <c r="K356" s="70">
        <f>'Приложение 5'!N156</f>
        <v>0</v>
      </c>
      <c r="L356" s="70">
        <f>'Приложение 5'!O156</f>
        <v>0</v>
      </c>
      <c r="M356" s="71">
        <f>'Приложение 5'!P156</f>
        <v>1500</v>
      </c>
    </row>
    <row r="357" spans="1:13" ht="57" customHeight="1" x14ac:dyDescent="0.3">
      <c r="A357" s="555"/>
      <c r="B357" s="565"/>
      <c r="C357" s="59" t="s">
        <v>95</v>
      </c>
      <c r="D357" s="69"/>
      <c r="E357" s="70">
        <v>0</v>
      </c>
      <c r="F357" s="71">
        <v>0</v>
      </c>
      <c r="G357" s="71">
        <v>0</v>
      </c>
      <c r="H357" s="71">
        <v>0</v>
      </c>
      <c r="I357" s="70">
        <v>0</v>
      </c>
      <c r="J357" s="70">
        <v>0</v>
      </c>
      <c r="K357" s="70">
        <v>0</v>
      </c>
      <c r="L357" s="70">
        <v>0</v>
      </c>
      <c r="M357" s="71">
        <f>SUM(E357:I357)</f>
        <v>0</v>
      </c>
    </row>
    <row r="358" spans="1:13" ht="83.1" customHeight="1" x14ac:dyDescent="0.3">
      <c r="A358" s="555"/>
      <c r="B358" s="565"/>
      <c r="C358" s="60" t="s">
        <v>96</v>
      </c>
      <c r="D358" s="69"/>
      <c r="E358" s="71">
        <v>0</v>
      </c>
      <c r="F358" s="71">
        <v>0</v>
      </c>
      <c r="G358" s="71">
        <v>0</v>
      </c>
      <c r="H358" s="71">
        <v>0</v>
      </c>
      <c r="I358" s="70">
        <v>0</v>
      </c>
      <c r="J358" s="70">
        <v>0</v>
      </c>
      <c r="K358" s="70">
        <v>0</v>
      </c>
      <c r="L358" s="70">
        <v>0</v>
      </c>
      <c r="M358" s="71">
        <v>0</v>
      </c>
    </row>
    <row r="359" spans="1:13" ht="83.1" customHeight="1" x14ac:dyDescent="0.3">
      <c r="A359" s="555"/>
      <c r="B359" s="565"/>
      <c r="C359" s="60" t="s">
        <v>97</v>
      </c>
      <c r="D359" s="69"/>
      <c r="E359" s="71">
        <v>0</v>
      </c>
      <c r="F359" s="71">
        <v>0</v>
      </c>
      <c r="G359" s="71">
        <v>0</v>
      </c>
      <c r="H359" s="71">
        <v>0</v>
      </c>
      <c r="I359" s="70">
        <v>0</v>
      </c>
      <c r="J359" s="70">
        <v>0</v>
      </c>
      <c r="K359" s="70">
        <v>0</v>
      </c>
      <c r="L359" s="70">
        <v>0</v>
      </c>
      <c r="M359" s="71">
        <v>0</v>
      </c>
    </row>
    <row r="360" spans="1:13" ht="57" customHeight="1" x14ac:dyDescent="0.3">
      <c r="A360" s="555"/>
      <c r="B360" s="565"/>
      <c r="C360" s="59" t="s">
        <v>98</v>
      </c>
      <c r="D360" s="69"/>
      <c r="E360" s="71">
        <v>0</v>
      </c>
      <c r="F360" s="71">
        <v>0</v>
      </c>
      <c r="G360" s="71">
        <v>0</v>
      </c>
      <c r="H360" s="71">
        <v>0</v>
      </c>
      <c r="I360" s="70">
        <v>0</v>
      </c>
      <c r="J360" s="70">
        <v>0</v>
      </c>
      <c r="K360" s="70">
        <v>0</v>
      </c>
      <c r="L360" s="70">
        <v>0</v>
      </c>
      <c r="M360" s="71">
        <v>0</v>
      </c>
    </row>
    <row r="361" spans="1:13" ht="27.95" customHeight="1" x14ac:dyDescent="0.3">
      <c r="A361" s="561" t="s">
        <v>3</v>
      </c>
      <c r="B361" s="558" t="s">
        <v>411</v>
      </c>
      <c r="C361" s="54" t="s">
        <v>27</v>
      </c>
      <c r="D361" s="66">
        <v>755</v>
      </c>
      <c r="E361" s="72">
        <f>SUM(E362:E367)</f>
        <v>0</v>
      </c>
      <c r="F361" s="72">
        <f t="shared" ref="F361:L361" si="63">SUM(F362:F367)</f>
        <v>3572.78</v>
      </c>
      <c r="G361" s="72">
        <f t="shared" si="63"/>
        <v>184928.49</v>
      </c>
      <c r="H361" s="72">
        <f t="shared" si="63"/>
        <v>176245.45</v>
      </c>
      <c r="I361" s="72">
        <f t="shared" si="63"/>
        <v>304455.48</v>
      </c>
      <c r="J361" s="72">
        <f t="shared" si="63"/>
        <v>135295.97</v>
      </c>
      <c r="K361" s="72">
        <f t="shared" si="63"/>
        <v>135295.97</v>
      </c>
      <c r="L361" s="72">
        <f t="shared" si="63"/>
        <v>135295.97</v>
      </c>
      <c r="M361" s="85">
        <f>SUM(E361:L361)</f>
        <v>1075090.1100000001</v>
      </c>
    </row>
    <row r="362" spans="1:13" ht="42" customHeight="1" x14ac:dyDescent="0.3">
      <c r="A362" s="556"/>
      <c r="B362" s="559"/>
      <c r="C362" s="60" t="s">
        <v>93</v>
      </c>
      <c r="D362" s="66"/>
      <c r="E362" s="70">
        <f t="shared" ref="E362:M362" si="64">E369</f>
        <v>0</v>
      </c>
      <c r="F362" s="71">
        <f t="shared" si="64"/>
        <v>0</v>
      </c>
      <c r="G362" s="71">
        <f t="shared" si="64"/>
        <v>35200</v>
      </c>
      <c r="H362" s="71">
        <f t="shared" si="64"/>
        <v>0</v>
      </c>
      <c r="I362" s="70">
        <f t="shared" si="64"/>
        <v>0</v>
      </c>
      <c r="J362" s="70">
        <f t="shared" si="64"/>
        <v>0</v>
      </c>
      <c r="K362" s="70">
        <f t="shared" si="64"/>
        <v>0</v>
      </c>
      <c r="L362" s="70">
        <f t="shared" si="64"/>
        <v>0</v>
      </c>
      <c r="M362" s="71">
        <f t="shared" si="64"/>
        <v>35200</v>
      </c>
    </row>
    <row r="363" spans="1:13" ht="27.95" customHeight="1" x14ac:dyDescent="0.3">
      <c r="A363" s="556"/>
      <c r="B363" s="559"/>
      <c r="C363" s="60" t="s">
        <v>94</v>
      </c>
      <c r="D363" s="66">
        <v>755</v>
      </c>
      <c r="E363" s="70">
        <f>'Приложение 5'!H158</f>
        <v>0</v>
      </c>
      <c r="F363" s="70">
        <f>'Приложение 5'!I158</f>
        <v>3572.78</v>
      </c>
      <c r="G363" s="70">
        <f>'Приложение 5'!J158</f>
        <v>149728.49</v>
      </c>
      <c r="H363" s="71">
        <f>'Приложение 5'!K157</f>
        <v>176245.45</v>
      </c>
      <c r="I363" s="70">
        <f>'Приложение 5'!L157</f>
        <v>304455.48</v>
      </c>
      <c r="J363" s="70">
        <f>'Приложение 5'!M157</f>
        <v>135295.97</v>
      </c>
      <c r="K363" s="70">
        <f>'Приложение 5'!N157</f>
        <v>135295.97</v>
      </c>
      <c r="L363" s="70">
        <f>'Приложение 5'!O157</f>
        <v>135295.97</v>
      </c>
      <c r="M363" s="71">
        <f>SUM(E363:L363)</f>
        <v>1039890.11</v>
      </c>
    </row>
    <row r="364" spans="1:13" ht="57" customHeight="1" x14ac:dyDescent="0.3">
      <c r="A364" s="556"/>
      <c r="B364" s="559"/>
      <c r="C364" s="59" t="s">
        <v>95</v>
      </c>
      <c r="D364" s="66"/>
      <c r="E364" s="70">
        <v>0</v>
      </c>
      <c r="F364" s="70">
        <v>0</v>
      </c>
      <c r="G364" s="70">
        <v>0</v>
      </c>
      <c r="H364" s="70">
        <v>0</v>
      </c>
      <c r="I364" s="70">
        <v>0</v>
      </c>
      <c r="J364" s="70">
        <v>0</v>
      </c>
      <c r="K364" s="70">
        <v>0</v>
      </c>
      <c r="L364" s="70">
        <v>0</v>
      </c>
      <c r="M364" s="71">
        <v>0</v>
      </c>
    </row>
    <row r="365" spans="1:13" ht="83.1" customHeight="1" x14ac:dyDescent="0.3">
      <c r="A365" s="556"/>
      <c r="B365" s="559"/>
      <c r="C365" s="59" t="s">
        <v>96</v>
      </c>
      <c r="D365" s="69"/>
      <c r="E365" s="71">
        <v>0</v>
      </c>
      <c r="F365" s="71">
        <v>0</v>
      </c>
      <c r="G365" s="71">
        <v>0</v>
      </c>
      <c r="H365" s="71">
        <v>0</v>
      </c>
      <c r="I365" s="71">
        <v>0</v>
      </c>
      <c r="J365" s="71">
        <v>0</v>
      </c>
      <c r="K365" s="71">
        <v>0</v>
      </c>
      <c r="L365" s="71">
        <v>0</v>
      </c>
      <c r="M365" s="71">
        <v>0</v>
      </c>
    </row>
    <row r="366" spans="1:13" ht="83.1" customHeight="1" x14ac:dyDescent="0.3">
      <c r="A366" s="556"/>
      <c r="B366" s="559"/>
      <c r="C366" s="60" t="s">
        <v>97</v>
      </c>
      <c r="D366" s="66"/>
      <c r="E366" s="70">
        <v>0</v>
      </c>
      <c r="F366" s="70">
        <v>0</v>
      </c>
      <c r="G366" s="70">
        <v>0</v>
      </c>
      <c r="H366" s="70">
        <v>0</v>
      </c>
      <c r="I366" s="70">
        <v>0</v>
      </c>
      <c r="J366" s="70">
        <v>0</v>
      </c>
      <c r="K366" s="70">
        <v>0</v>
      </c>
      <c r="L366" s="70">
        <v>0</v>
      </c>
      <c r="M366" s="71">
        <v>0</v>
      </c>
    </row>
    <row r="367" spans="1:13" ht="57" customHeight="1" x14ac:dyDescent="0.3">
      <c r="A367" s="557"/>
      <c r="B367" s="560"/>
      <c r="C367" s="59" t="s">
        <v>98</v>
      </c>
      <c r="D367" s="66"/>
      <c r="E367" s="70">
        <v>0</v>
      </c>
      <c r="F367" s="70">
        <v>0</v>
      </c>
      <c r="G367" s="70">
        <v>0</v>
      </c>
      <c r="H367" s="70">
        <v>0</v>
      </c>
      <c r="I367" s="70">
        <v>0</v>
      </c>
      <c r="J367" s="70">
        <v>0</v>
      </c>
      <c r="K367" s="70">
        <v>0</v>
      </c>
      <c r="L367" s="70">
        <v>0</v>
      </c>
      <c r="M367" s="71">
        <v>0</v>
      </c>
    </row>
    <row r="368" spans="1:13" ht="27.95" customHeight="1" x14ac:dyDescent="0.3">
      <c r="A368" s="555" t="s">
        <v>214</v>
      </c>
      <c r="B368" s="565" t="s">
        <v>360</v>
      </c>
      <c r="C368" s="54" t="s">
        <v>27</v>
      </c>
      <c r="D368" s="66">
        <v>755</v>
      </c>
      <c r="E368" s="72">
        <f t="shared" ref="E368:L368" si="65">SUM(E369:E374)</f>
        <v>0</v>
      </c>
      <c r="F368" s="85">
        <f t="shared" si="65"/>
        <v>3572.78</v>
      </c>
      <c r="G368" s="85">
        <f t="shared" si="65"/>
        <v>184928.49</v>
      </c>
      <c r="H368" s="85">
        <f t="shared" si="65"/>
        <v>176245.45</v>
      </c>
      <c r="I368" s="72">
        <f t="shared" si="65"/>
        <v>304455.48</v>
      </c>
      <c r="J368" s="72">
        <f t="shared" si="65"/>
        <v>135295.97</v>
      </c>
      <c r="K368" s="85">
        <f t="shared" si="65"/>
        <v>135295.97</v>
      </c>
      <c r="L368" s="85">
        <f t="shared" si="65"/>
        <v>135295.97</v>
      </c>
      <c r="M368" s="85">
        <f>SUM(E368:L368)</f>
        <v>1075090.1100000001</v>
      </c>
    </row>
    <row r="369" spans="1:13" ht="42" customHeight="1" x14ac:dyDescent="0.3">
      <c r="A369" s="555"/>
      <c r="B369" s="565"/>
      <c r="C369" s="60" t="s">
        <v>93</v>
      </c>
      <c r="D369" s="66"/>
      <c r="E369" s="75">
        <v>0</v>
      </c>
      <c r="F369" s="71">
        <v>0</v>
      </c>
      <c r="G369" s="71">
        <f>G376+G383</f>
        <v>35200</v>
      </c>
      <c r="H369" s="71">
        <v>0</v>
      </c>
      <c r="I369" s="70">
        <v>0</v>
      </c>
      <c r="J369" s="71">
        <v>0</v>
      </c>
      <c r="K369" s="70">
        <v>0</v>
      </c>
      <c r="L369" s="71">
        <v>0</v>
      </c>
      <c r="M369" s="71">
        <f>SUM(E369:I369)</f>
        <v>35200</v>
      </c>
    </row>
    <row r="370" spans="1:13" ht="27.95" customHeight="1" x14ac:dyDescent="0.3">
      <c r="A370" s="555"/>
      <c r="B370" s="565"/>
      <c r="C370" s="60" t="s">
        <v>94</v>
      </c>
      <c r="D370" s="66">
        <v>755</v>
      </c>
      <c r="E370" s="71">
        <f>'Приложение 5'!H160</f>
        <v>0</v>
      </c>
      <c r="F370" s="71">
        <f>'Приложение 5'!I160</f>
        <v>3572.78</v>
      </c>
      <c r="G370" s="71">
        <f>'Приложение 5'!J160</f>
        <v>149728.49</v>
      </c>
      <c r="H370" s="71">
        <f>'Приложение 5'!K160</f>
        <v>176245.45</v>
      </c>
      <c r="I370" s="71">
        <f>'Приложение 5'!L160</f>
        <v>304455.48</v>
      </c>
      <c r="J370" s="71">
        <f>'Приложение 5'!M160</f>
        <v>135295.97</v>
      </c>
      <c r="K370" s="71">
        <f>'Приложение 5'!N160</f>
        <v>135295.97</v>
      </c>
      <c r="L370" s="71">
        <f>'Приложение 5'!O160</f>
        <v>135295.97</v>
      </c>
      <c r="M370" s="81">
        <f>SUM(E370:L370)</f>
        <v>1039890.11</v>
      </c>
    </row>
    <row r="371" spans="1:13" ht="57" customHeight="1" x14ac:dyDescent="0.3">
      <c r="A371" s="555"/>
      <c r="B371" s="565"/>
      <c r="C371" s="59" t="s">
        <v>95</v>
      </c>
      <c r="D371" s="66"/>
      <c r="E371" s="70">
        <v>0</v>
      </c>
      <c r="F371" s="71">
        <v>0</v>
      </c>
      <c r="G371" s="71">
        <v>0</v>
      </c>
      <c r="H371" s="71">
        <v>0</v>
      </c>
      <c r="I371" s="70">
        <v>0</v>
      </c>
      <c r="J371" s="70">
        <v>0</v>
      </c>
      <c r="K371" s="70">
        <v>0</v>
      </c>
      <c r="L371" s="70">
        <v>0</v>
      </c>
      <c r="M371" s="71">
        <f>SUM(E371:I371)</f>
        <v>0</v>
      </c>
    </row>
    <row r="372" spans="1:13" ht="83.1" customHeight="1" x14ac:dyDescent="0.3">
      <c r="A372" s="555"/>
      <c r="B372" s="565"/>
      <c r="C372" s="60" t="s">
        <v>96</v>
      </c>
      <c r="D372" s="66"/>
      <c r="E372" s="71">
        <v>0</v>
      </c>
      <c r="F372" s="71">
        <v>0</v>
      </c>
      <c r="G372" s="71">
        <v>0</v>
      </c>
      <c r="H372" s="71">
        <v>0</v>
      </c>
      <c r="I372" s="70">
        <v>0</v>
      </c>
      <c r="J372" s="70">
        <v>0</v>
      </c>
      <c r="K372" s="70">
        <v>0</v>
      </c>
      <c r="L372" s="70">
        <v>0</v>
      </c>
      <c r="M372" s="71">
        <v>0</v>
      </c>
    </row>
    <row r="373" spans="1:13" ht="83.1" customHeight="1" x14ac:dyDescent="0.3">
      <c r="A373" s="555"/>
      <c r="B373" s="565"/>
      <c r="C373" s="60" t="s">
        <v>97</v>
      </c>
      <c r="D373" s="66"/>
      <c r="E373" s="71">
        <v>0</v>
      </c>
      <c r="F373" s="71">
        <v>0</v>
      </c>
      <c r="G373" s="71">
        <v>0</v>
      </c>
      <c r="H373" s="71">
        <v>0</v>
      </c>
      <c r="I373" s="70">
        <v>0</v>
      </c>
      <c r="J373" s="70">
        <v>0</v>
      </c>
      <c r="K373" s="70">
        <v>0</v>
      </c>
      <c r="L373" s="70">
        <v>0</v>
      </c>
      <c r="M373" s="71">
        <v>0</v>
      </c>
    </row>
    <row r="374" spans="1:13" ht="57" customHeight="1" x14ac:dyDescent="0.3">
      <c r="A374" s="555"/>
      <c r="B374" s="565"/>
      <c r="C374" s="59" t="s">
        <v>98</v>
      </c>
      <c r="D374" s="66"/>
      <c r="E374" s="71">
        <v>0</v>
      </c>
      <c r="F374" s="71">
        <v>0</v>
      </c>
      <c r="G374" s="71">
        <v>0</v>
      </c>
      <c r="H374" s="71">
        <v>0</v>
      </c>
      <c r="I374" s="70">
        <v>0</v>
      </c>
      <c r="J374" s="70">
        <v>0</v>
      </c>
      <c r="K374" s="70">
        <v>0</v>
      </c>
      <c r="L374" s="70">
        <v>0</v>
      </c>
      <c r="M374" s="71">
        <v>0</v>
      </c>
    </row>
    <row r="375" spans="1:13" ht="27.95" customHeight="1" x14ac:dyDescent="0.3">
      <c r="A375" s="555" t="s">
        <v>215</v>
      </c>
      <c r="B375" s="565" t="s">
        <v>361</v>
      </c>
      <c r="C375" s="54" t="s">
        <v>27</v>
      </c>
      <c r="D375" s="66">
        <v>755</v>
      </c>
      <c r="E375" s="72">
        <f t="shared" ref="E375:L375" si="66">SUM(E376:E381)</f>
        <v>0</v>
      </c>
      <c r="F375" s="85">
        <f t="shared" si="66"/>
        <v>3522.78</v>
      </c>
      <c r="G375" s="85">
        <f t="shared" si="66"/>
        <v>131528.49</v>
      </c>
      <c r="H375" s="85">
        <f t="shared" si="66"/>
        <v>163745.45000000001</v>
      </c>
      <c r="I375" s="72">
        <f t="shared" si="66"/>
        <v>304455.48</v>
      </c>
      <c r="J375" s="72">
        <f t="shared" si="66"/>
        <v>135295.97</v>
      </c>
      <c r="K375" s="85">
        <f t="shared" si="66"/>
        <v>135295.97</v>
      </c>
      <c r="L375" s="85">
        <f t="shared" si="66"/>
        <v>135295.97</v>
      </c>
      <c r="M375" s="85">
        <f>SUM(E375:L375)</f>
        <v>1009140.11</v>
      </c>
    </row>
    <row r="376" spans="1:13" ht="42" customHeight="1" x14ac:dyDescent="0.3">
      <c r="A376" s="555"/>
      <c r="B376" s="565"/>
      <c r="C376" s="60" t="s">
        <v>93</v>
      </c>
      <c r="D376" s="66"/>
      <c r="E376" s="75">
        <v>0</v>
      </c>
      <c r="F376" s="71">
        <v>0</v>
      </c>
      <c r="G376" s="71">
        <v>0</v>
      </c>
      <c r="H376" s="71">
        <v>0</v>
      </c>
      <c r="I376" s="70">
        <v>0</v>
      </c>
      <c r="J376" s="71">
        <v>0</v>
      </c>
      <c r="K376" s="70">
        <v>0</v>
      </c>
      <c r="L376" s="71">
        <v>0</v>
      </c>
      <c r="M376" s="71">
        <f>SUM(E376:I376)</f>
        <v>0</v>
      </c>
    </row>
    <row r="377" spans="1:13" ht="27.95" customHeight="1" x14ac:dyDescent="0.3">
      <c r="A377" s="555"/>
      <c r="B377" s="565"/>
      <c r="C377" s="60" t="s">
        <v>94</v>
      </c>
      <c r="D377" s="66">
        <v>755</v>
      </c>
      <c r="E377" s="70">
        <f>'Приложение 5'!H161</f>
        <v>0</v>
      </c>
      <c r="F377" s="70">
        <f>'Приложение 5'!I161</f>
        <v>3522.78</v>
      </c>
      <c r="G377" s="70">
        <f>'Приложение 5'!J161</f>
        <v>131528.49</v>
      </c>
      <c r="H377" s="71">
        <f>'Приложение 5'!K162</f>
        <v>163745.45000000001</v>
      </c>
      <c r="I377" s="70">
        <f>'Приложение 5'!L162</f>
        <v>304455.48</v>
      </c>
      <c r="J377" s="70">
        <f>'Приложение 5'!M162</f>
        <v>135295.97</v>
      </c>
      <c r="K377" s="70">
        <f>'Приложение 5'!N162</f>
        <v>135295.97</v>
      </c>
      <c r="L377" s="70">
        <f>'Приложение 5'!O162</f>
        <v>135295.97</v>
      </c>
      <c r="M377" s="81">
        <f>SUM(E377:L377)</f>
        <v>1009140.11</v>
      </c>
    </row>
    <row r="378" spans="1:13" ht="57" customHeight="1" x14ac:dyDescent="0.3">
      <c r="A378" s="555"/>
      <c r="B378" s="565"/>
      <c r="C378" s="59" t="s">
        <v>95</v>
      </c>
      <c r="D378" s="66"/>
      <c r="E378" s="70">
        <v>0</v>
      </c>
      <c r="F378" s="71">
        <v>0</v>
      </c>
      <c r="G378" s="71">
        <v>0</v>
      </c>
      <c r="H378" s="71">
        <v>0</v>
      </c>
      <c r="I378" s="70">
        <v>0</v>
      </c>
      <c r="J378" s="70">
        <v>0</v>
      </c>
      <c r="K378" s="70">
        <v>0</v>
      </c>
      <c r="L378" s="70">
        <v>0</v>
      </c>
      <c r="M378" s="71">
        <f>SUM(E378:I378)</f>
        <v>0</v>
      </c>
    </row>
    <row r="379" spans="1:13" ht="83.1" customHeight="1" x14ac:dyDescent="0.3">
      <c r="A379" s="555"/>
      <c r="B379" s="565"/>
      <c r="C379" s="60" t="s">
        <v>96</v>
      </c>
      <c r="D379" s="66"/>
      <c r="E379" s="71">
        <v>0</v>
      </c>
      <c r="F379" s="71">
        <v>0</v>
      </c>
      <c r="G379" s="71">
        <v>0</v>
      </c>
      <c r="H379" s="71">
        <v>0</v>
      </c>
      <c r="I379" s="70">
        <v>0</v>
      </c>
      <c r="J379" s="70">
        <v>0</v>
      </c>
      <c r="K379" s="70">
        <v>0</v>
      </c>
      <c r="L379" s="70">
        <v>0</v>
      </c>
      <c r="M379" s="71">
        <v>0</v>
      </c>
    </row>
    <row r="380" spans="1:13" ht="83.1" customHeight="1" x14ac:dyDescent="0.3">
      <c r="A380" s="555"/>
      <c r="B380" s="565"/>
      <c r="C380" s="60" t="s">
        <v>97</v>
      </c>
      <c r="D380" s="66"/>
      <c r="E380" s="71">
        <v>0</v>
      </c>
      <c r="F380" s="71">
        <v>0</v>
      </c>
      <c r="G380" s="71">
        <v>0</v>
      </c>
      <c r="H380" s="71">
        <v>0</v>
      </c>
      <c r="I380" s="70">
        <v>0</v>
      </c>
      <c r="J380" s="70">
        <v>0</v>
      </c>
      <c r="K380" s="70">
        <v>0</v>
      </c>
      <c r="L380" s="70">
        <v>0</v>
      </c>
      <c r="M380" s="71">
        <v>0</v>
      </c>
    </row>
    <row r="381" spans="1:13" ht="57" customHeight="1" x14ac:dyDescent="0.3">
      <c r="A381" s="555"/>
      <c r="B381" s="565"/>
      <c r="C381" s="59" t="s">
        <v>98</v>
      </c>
      <c r="D381" s="66"/>
      <c r="E381" s="71">
        <v>0</v>
      </c>
      <c r="F381" s="71">
        <v>0</v>
      </c>
      <c r="G381" s="71">
        <v>0</v>
      </c>
      <c r="H381" s="71">
        <v>0</v>
      </c>
      <c r="I381" s="70">
        <v>0</v>
      </c>
      <c r="J381" s="70">
        <v>0</v>
      </c>
      <c r="K381" s="70">
        <v>0</v>
      </c>
      <c r="L381" s="70">
        <v>0</v>
      </c>
      <c r="M381" s="71">
        <v>0</v>
      </c>
    </row>
    <row r="382" spans="1:13" ht="27.95" customHeight="1" x14ac:dyDescent="0.3">
      <c r="A382" s="555" t="s">
        <v>216</v>
      </c>
      <c r="B382" s="565" t="s">
        <v>362</v>
      </c>
      <c r="C382" s="54" t="s">
        <v>27</v>
      </c>
      <c r="D382" s="69">
        <v>755</v>
      </c>
      <c r="E382" s="85">
        <f t="shared" ref="E382:L382" si="67">SUM(E383:E388)</f>
        <v>0</v>
      </c>
      <c r="F382" s="85">
        <f t="shared" si="67"/>
        <v>50</v>
      </c>
      <c r="G382" s="85">
        <f t="shared" si="67"/>
        <v>53400</v>
      </c>
      <c r="H382" s="85">
        <f t="shared" si="67"/>
        <v>12500</v>
      </c>
      <c r="I382" s="85">
        <f t="shared" si="67"/>
        <v>0</v>
      </c>
      <c r="J382" s="85">
        <f t="shared" si="67"/>
        <v>0</v>
      </c>
      <c r="K382" s="85">
        <f t="shared" si="67"/>
        <v>0</v>
      </c>
      <c r="L382" s="85">
        <f t="shared" si="67"/>
        <v>0</v>
      </c>
      <c r="M382" s="85">
        <f>SUM(E382:L382)</f>
        <v>65950</v>
      </c>
    </row>
    <row r="383" spans="1:13" ht="42" customHeight="1" x14ac:dyDescent="0.3">
      <c r="A383" s="555"/>
      <c r="B383" s="565"/>
      <c r="C383" s="60" t="s">
        <v>93</v>
      </c>
      <c r="D383" s="66"/>
      <c r="E383" s="75">
        <v>0</v>
      </c>
      <c r="F383" s="71">
        <v>0</v>
      </c>
      <c r="G383" s="71">
        <f>13200+22000</f>
        <v>35200</v>
      </c>
      <c r="H383" s="71">
        <v>0</v>
      </c>
      <c r="I383" s="70">
        <v>0</v>
      </c>
      <c r="J383" s="71">
        <v>0</v>
      </c>
      <c r="K383" s="70">
        <v>0</v>
      </c>
      <c r="L383" s="71">
        <v>0</v>
      </c>
      <c r="M383" s="71">
        <f>SUM(E383:I383)</f>
        <v>35200</v>
      </c>
    </row>
    <row r="384" spans="1:13" ht="30" customHeight="1" x14ac:dyDescent="0.3">
      <c r="A384" s="555"/>
      <c r="B384" s="565"/>
      <c r="C384" s="60" t="s">
        <v>94</v>
      </c>
      <c r="D384" s="66">
        <v>755</v>
      </c>
      <c r="E384" s="70">
        <f>'Приложение 5'!H163</f>
        <v>0</v>
      </c>
      <c r="F384" s="71">
        <f>'Приложение 5'!I163</f>
        <v>50</v>
      </c>
      <c r="G384" s="71">
        <f>'Приложение 5'!J163</f>
        <v>18200</v>
      </c>
      <c r="H384" s="71">
        <f>'Приложение 5'!K164</f>
        <v>12500</v>
      </c>
      <c r="I384" s="70">
        <f>'Приложение 5'!L164</f>
        <v>0</v>
      </c>
      <c r="J384" s="70">
        <f>'Приложение 5'!M164</f>
        <v>0</v>
      </c>
      <c r="K384" s="71">
        <f>'Приложение 5'!N164</f>
        <v>0</v>
      </c>
      <c r="L384" s="71">
        <f>'Приложение 5'!O164</f>
        <v>0</v>
      </c>
      <c r="M384" s="81">
        <f>SUM(E384:L384)</f>
        <v>30750</v>
      </c>
    </row>
    <row r="385" spans="1:13" ht="65.25" customHeight="1" x14ac:dyDescent="0.3">
      <c r="A385" s="555"/>
      <c r="B385" s="565"/>
      <c r="C385" s="59" t="s">
        <v>95</v>
      </c>
      <c r="D385" s="66"/>
      <c r="E385" s="70">
        <v>0</v>
      </c>
      <c r="F385" s="71">
        <v>0</v>
      </c>
      <c r="G385" s="71">
        <v>0</v>
      </c>
      <c r="H385" s="71">
        <v>0</v>
      </c>
      <c r="I385" s="70">
        <v>0</v>
      </c>
      <c r="J385" s="70">
        <v>0</v>
      </c>
      <c r="K385" s="70">
        <v>0</v>
      </c>
      <c r="L385" s="70">
        <v>0</v>
      </c>
      <c r="M385" s="71">
        <f>SUM(E385:I385)</f>
        <v>0</v>
      </c>
    </row>
    <row r="386" spans="1:13" ht="83.1" customHeight="1" x14ac:dyDescent="0.3">
      <c r="A386" s="555"/>
      <c r="B386" s="565"/>
      <c r="C386" s="60" t="s">
        <v>96</v>
      </c>
      <c r="D386" s="66"/>
      <c r="E386" s="71">
        <v>0</v>
      </c>
      <c r="F386" s="71">
        <v>0</v>
      </c>
      <c r="G386" s="71">
        <v>0</v>
      </c>
      <c r="H386" s="71">
        <v>0</v>
      </c>
      <c r="I386" s="70">
        <v>0</v>
      </c>
      <c r="J386" s="70">
        <v>0</v>
      </c>
      <c r="K386" s="70">
        <v>0</v>
      </c>
      <c r="L386" s="70">
        <v>0</v>
      </c>
      <c r="M386" s="71">
        <v>0</v>
      </c>
    </row>
    <row r="387" spans="1:13" ht="83.1" customHeight="1" x14ac:dyDescent="0.3">
      <c r="A387" s="555"/>
      <c r="B387" s="565"/>
      <c r="C387" s="60" t="s">
        <v>97</v>
      </c>
      <c r="D387" s="66"/>
      <c r="E387" s="71">
        <v>0</v>
      </c>
      <c r="F387" s="71">
        <v>0</v>
      </c>
      <c r="G387" s="71">
        <v>0</v>
      </c>
      <c r="H387" s="71">
        <v>0</v>
      </c>
      <c r="I387" s="70">
        <v>0</v>
      </c>
      <c r="J387" s="70">
        <v>0</v>
      </c>
      <c r="K387" s="70">
        <v>0</v>
      </c>
      <c r="L387" s="70">
        <v>0</v>
      </c>
      <c r="M387" s="71">
        <v>0</v>
      </c>
    </row>
    <row r="388" spans="1:13" ht="57" customHeight="1" x14ac:dyDescent="0.3">
      <c r="A388" s="555"/>
      <c r="B388" s="565"/>
      <c r="C388" s="59" t="s">
        <v>98</v>
      </c>
      <c r="D388" s="66"/>
      <c r="E388" s="71">
        <v>0</v>
      </c>
      <c r="F388" s="71">
        <v>0</v>
      </c>
      <c r="G388" s="71">
        <v>0</v>
      </c>
      <c r="H388" s="71">
        <v>0</v>
      </c>
      <c r="I388" s="70">
        <v>0</v>
      </c>
      <c r="J388" s="70">
        <v>0</v>
      </c>
      <c r="K388" s="70">
        <v>0</v>
      </c>
      <c r="L388" s="70">
        <v>0</v>
      </c>
      <c r="M388" s="71">
        <v>0</v>
      </c>
    </row>
    <row r="389" spans="1:13" ht="65.25" customHeight="1" x14ac:dyDescent="0.3">
      <c r="A389" s="561" t="s">
        <v>261</v>
      </c>
      <c r="B389" s="574" t="s">
        <v>365</v>
      </c>
      <c r="C389" s="54" t="s">
        <v>159</v>
      </c>
      <c r="D389" s="113" t="s">
        <v>343</v>
      </c>
      <c r="E389" s="72">
        <f>SUM(E390:E395)</f>
        <v>65200</v>
      </c>
      <c r="F389" s="72">
        <f t="shared" ref="F389:G389" si="68">SUM(F390:F395)</f>
        <v>49984.1</v>
      </c>
      <c r="G389" s="72">
        <f t="shared" si="68"/>
        <v>5565.64</v>
      </c>
      <c r="H389" s="85">
        <f>SUM(H391,H395)</f>
        <v>60039.75</v>
      </c>
      <c r="I389" s="72">
        <f>SUM(I391,I395)</f>
        <v>16120.12</v>
      </c>
      <c r="J389" s="85">
        <f>SUM(J391,J395)</f>
        <v>0</v>
      </c>
      <c r="K389" s="72">
        <f>SUM(K391,K395)</f>
        <v>0</v>
      </c>
      <c r="L389" s="85">
        <f>SUM(L391,L395)</f>
        <v>0</v>
      </c>
      <c r="M389" s="85">
        <f>SUM(E389:L389)</f>
        <v>196909.61</v>
      </c>
    </row>
    <row r="390" spans="1:13" ht="42" customHeight="1" x14ac:dyDescent="0.3">
      <c r="A390" s="556"/>
      <c r="B390" s="575"/>
      <c r="C390" s="59" t="s">
        <v>161</v>
      </c>
      <c r="D390" s="52"/>
      <c r="E390" s="70">
        <v>0</v>
      </c>
      <c r="F390" s="70">
        <v>0</v>
      </c>
      <c r="G390" s="70">
        <v>0</v>
      </c>
      <c r="H390" s="71">
        <f>SUM(H404,H418,H425,H432,H474,H439,H446,H453,H460)</f>
        <v>0</v>
      </c>
      <c r="I390" s="70">
        <f>SUM(I404,I418,I425,I432,I474,I439,I446,I453,I460)</f>
        <v>0</v>
      </c>
      <c r="J390" s="71">
        <f>SUM(J404,J418,J425,J432,J474,J439,J446,J453,J460)</f>
        <v>0</v>
      </c>
      <c r="K390" s="70">
        <f>SUM(K404,K418,K425,K432,K474,K439,K446,K453,K460)</f>
        <v>0</v>
      </c>
      <c r="L390" s="71">
        <f>SUM(L404,L418,L425,L432,L474,L439,L446,L453,L460)</f>
        <v>0</v>
      </c>
      <c r="M390" s="71">
        <f>SUM(H390:I390)</f>
        <v>0</v>
      </c>
    </row>
    <row r="391" spans="1:13" ht="66" customHeight="1" x14ac:dyDescent="0.3">
      <c r="A391" s="556"/>
      <c r="B391" s="575"/>
      <c r="C391" s="59" t="s">
        <v>160</v>
      </c>
      <c r="D391" s="114" t="s">
        <v>343</v>
      </c>
      <c r="E391" s="70">
        <f>'Приложение 5'!H165</f>
        <v>30400</v>
      </c>
      <c r="F391" s="70">
        <f>'Приложение 5'!I165</f>
        <v>8384.1</v>
      </c>
      <c r="G391" s="70">
        <f>'Приложение 5'!J165</f>
        <v>5565.64</v>
      </c>
      <c r="H391" s="70">
        <f>'Приложение 5'!K165</f>
        <v>45000</v>
      </c>
      <c r="I391" s="70">
        <f>'Приложение 5'!L165</f>
        <v>13080.37</v>
      </c>
      <c r="J391" s="70">
        <f>'Приложение 5'!M165</f>
        <v>0</v>
      </c>
      <c r="K391" s="70">
        <f>'Приложение 5'!N165</f>
        <v>0</v>
      </c>
      <c r="L391" s="70">
        <f>'Приложение 5'!O165</f>
        <v>0</v>
      </c>
      <c r="M391" s="71">
        <f>'Приложение 5'!P165</f>
        <v>102430.11</v>
      </c>
    </row>
    <row r="392" spans="1:13" ht="57" customHeight="1" x14ac:dyDescent="0.3">
      <c r="A392" s="556"/>
      <c r="B392" s="575"/>
      <c r="C392" s="59" t="s">
        <v>95</v>
      </c>
      <c r="D392" s="52"/>
      <c r="E392" s="70">
        <f t="shared" ref="E392:G392" si="69">E399</f>
        <v>34800</v>
      </c>
      <c r="F392" s="70">
        <f t="shared" si="69"/>
        <v>41600</v>
      </c>
      <c r="G392" s="70">
        <f t="shared" si="69"/>
        <v>0</v>
      </c>
      <c r="H392" s="71">
        <v>0</v>
      </c>
      <c r="I392" s="70">
        <v>0</v>
      </c>
      <c r="J392" s="70">
        <v>0</v>
      </c>
      <c r="K392" s="70">
        <v>0</v>
      </c>
      <c r="L392" s="70">
        <v>0</v>
      </c>
      <c r="M392" s="71">
        <f>SUM(E392:L392)</f>
        <v>76400</v>
      </c>
    </row>
    <row r="393" spans="1:13" ht="83.1" customHeight="1" x14ac:dyDescent="0.3">
      <c r="A393" s="556"/>
      <c r="B393" s="575"/>
      <c r="C393" s="60" t="s">
        <v>96</v>
      </c>
      <c r="D393" s="52"/>
      <c r="E393" s="70">
        <v>0</v>
      </c>
      <c r="F393" s="70">
        <v>0</v>
      </c>
      <c r="G393" s="70">
        <v>0</v>
      </c>
      <c r="H393" s="71">
        <v>0</v>
      </c>
      <c r="I393" s="70">
        <v>0</v>
      </c>
      <c r="J393" s="70">
        <v>0</v>
      </c>
      <c r="K393" s="70">
        <v>0</v>
      </c>
      <c r="L393" s="70">
        <v>0</v>
      </c>
      <c r="M393" s="71">
        <v>0</v>
      </c>
    </row>
    <row r="394" spans="1:13" ht="83.1" customHeight="1" x14ac:dyDescent="0.3">
      <c r="A394" s="556"/>
      <c r="B394" s="575"/>
      <c r="C394" s="59" t="s">
        <v>97</v>
      </c>
      <c r="D394" s="52"/>
      <c r="E394" s="70">
        <v>0</v>
      </c>
      <c r="F394" s="70">
        <v>0</v>
      </c>
      <c r="G394" s="70">
        <v>0</v>
      </c>
      <c r="H394" s="71">
        <v>0</v>
      </c>
      <c r="I394" s="70">
        <v>0</v>
      </c>
      <c r="J394" s="70">
        <v>0</v>
      </c>
      <c r="K394" s="70">
        <v>0</v>
      </c>
      <c r="L394" s="70">
        <v>0</v>
      </c>
      <c r="M394" s="71">
        <v>0</v>
      </c>
    </row>
    <row r="395" spans="1:13" ht="57" customHeight="1" x14ac:dyDescent="0.3">
      <c r="A395" s="557"/>
      <c r="B395" s="576"/>
      <c r="C395" s="59" t="s">
        <v>98</v>
      </c>
      <c r="D395" s="52"/>
      <c r="E395" s="70">
        <v>0</v>
      </c>
      <c r="F395" s="70">
        <v>0</v>
      </c>
      <c r="G395" s="70">
        <v>0</v>
      </c>
      <c r="H395" s="71">
        <v>15039.75</v>
      </c>
      <c r="I395" s="70">
        <v>3039.75</v>
      </c>
      <c r="J395" s="70">
        <v>0</v>
      </c>
      <c r="K395" s="70">
        <v>0</v>
      </c>
      <c r="L395" s="70">
        <v>0</v>
      </c>
      <c r="M395" s="71">
        <f>SUM(H395:I395)</f>
        <v>18079.5</v>
      </c>
    </row>
    <row r="396" spans="1:13" ht="40.5" customHeight="1" x14ac:dyDescent="0.3">
      <c r="A396" s="561" t="s">
        <v>132</v>
      </c>
      <c r="B396" s="558" t="s">
        <v>379</v>
      </c>
      <c r="C396" s="54" t="s">
        <v>159</v>
      </c>
      <c r="D396" s="52" t="s">
        <v>401</v>
      </c>
      <c r="E396" s="72">
        <f>SUM(E397:E402)</f>
        <v>65200</v>
      </c>
      <c r="F396" s="72">
        <f t="shared" ref="F396:L396" si="70">SUM(F397:F402)</f>
        <v>49984.1</v>
      </c>
      <c r="G396" s="72">
        <f t="shared" si="70"/>
        <v>5565.64</v>
      </c>
      <c r="H396" s="72">
        <f t="shared" si="70"/>
        <v>0</v>
      </c>
      <c r="I396" s="72">
        <f t="shared" si="70"/>
        <v>8280.3700000000008</v>
      </c>
      <c r="J396" s="72">
        <f t="shared" si="70"/>
        <v>0</v>
      </c>
      <c r="K396" s="72">
        <f t="shared" si="70"/>
        <v>0</v>
      </c>
      <c r="L396" s="72">
        <f t="shared" si="70"/>
        <v>0</v>
      </c>
      <c r="M396" s="85">
        <f>SUM(E396:L396)</f>
        <v>129030.11</v>
      </c>
    </row>
    <row r="397" spans="1:13" ht="42" customHeight="1" x14ac:dyDescent="0.3">
      <c r="A397" s="556"/>
      <c r="B397" s="559"/>
      <c r="C397" s="59" t="s">
        <v>161</v>
      </c>
      <c r="D397" s="52"/>
      <c r="E397" s="70">
        <v>0</v>
      </c>
      <c r="F397" s="70">
        <v>0</v>
      </c>
      <c r="G397" s="70">
        <v>0</v>
      </c>
      <c r="H397" s="71">
        <v>0</v>
      </c>
      <c r="I397" s="71">
        <v>0</v>
      </c>
      <c r="J397" s="71">
        <v>0</v>
      </c>
      <c r="K397" s="71">
        <v>0</v>
      </c>
      <c r="L397" s="71">
        <v>0</v>
      </c>
      <c r="M397" s="71">
        <v>0</v>
      </c>
    </row>
    <row r="398" spans="1:13" ht="37.5" customHeight="1" x14ac:dyDescent="0.3">
      <c r="A398" s="556"/>
      <c r="B398" s="559"/>
      <c r="C398" s="59" t="s">
        <v>160</v>
      </c>
      <c r="D398" s="178" t="s">
        <v>400</v>
      </c>
      <c r="E398" s="71">
        <f>'Приложение 5'!H173</f>
        <v>30400</v>
      </c>
      <c r="F398" s="71">
        <f>'Приложение 5'!I173</f>
        <v>8384.1</v>
      </c>
      <c r="G398" s="71">
        <f>'Приложение 5'!J173</f>
        <v>5565.64</v>
      </c>
      <c r="H398" s="71">
        <f>'Приложение 5'!K172</f>
        <v>0</v>
      </c>
      <c r="I398" s="71">
        <f>'Приложение 5'!L172</f>
        <v>8280.3700000000008</v>
      </c>
      <c r="J398" s="71">
        <f>'Приложение 5'!M172</f>
        <v>0</v>
      </c>
      <c r="K398" s="71">
        <f>'Приложение 5'!N172</f>
        <v>0</v>
      </c>
      <c r="L398" s="71">
        <f>'Приложение 5'!O172</f>
        <v>0</v>
      </c>
      <c r="M398" s="71">
        <f>'Приложение 5'!P172</f>
        <v>52630.11</v>
      </c>
    </row>
    <row r="399" spans="1:13" ht="57" customHeight="1" x14ac:dyDescent="0.3">
      <c r="A399" s="556"/>
      <c r="B399" s="559"/>
      <c r="C399" s="59" t="s">
        <v>95</v>
      </c>
      <c r="D399" s="52"/>
      <c r="E399" s="70">
        <f t="shared" ref="E399:G399" si="71">E406</f>
        <v>34800</v>
      </c>
      <c r="F399" s="70">
        <f t="shared" si="71"/>
        <v>41600</v>
      </c>
      <c r="G399" s="70">
        <f t="shared" si="71"/>
        <v>0</v>
      </c>
      <c r="H399" s="71">
        <v>0</v>
      </c>
      <c r="I399" s="71">
        <v>0</v>
      </c>
      <c r="J399" s="71">
        <v>0</v>
      </c>
      <c r="K399" s="71">
        <v>0</v>
      </c>
      <c r="L399" s="71">
        <v>0</v>
      </c>
      <c r="M399" s="71">
        <f>SUM(E399:L399)</f>
        <v>76400</v>
      </c>
    </row>
    <row r="400" spans="1:13" ht="77.25" customHeight="1" x14ac:dyDescent="0.3">
      <c r="A400" s="556"/>
      <c r="B400" s="559"/>
      <c r="C400" s="60" t="s">
        <v>96</v>
      </c>
      <c r="D400" s="52"/>
      <c r="E400" s="70">
        <v>0</v>
      </c>
      <c r="F400" s="70">
        <v>0</v>
      </c>
      <c r="G400" s="70">
        <v>0</v>
      </c>
      <c r="H400" s="71">
        <v>0</v>
      </c>
      <c r="I400" s="71">
        <v>0</v>
      </c>
      <c r="J400" s="71">
        <v>0</v>
      </c>
      <c r="K400" s="71">
        <v>0</v>
      </c>
      <c r="L400" s="71">
        <v>0</v>
      </c>
      <c r="M400" s="71">
        <v>0</v>
      </c>
    </row>
    <row r="401" spans="1:13" ht="75.75" customHeight="1" x14ac:dyDescent="0.3">
      <c r="A401" s="556"/>
      <c r="B401" s="559"/>
      <c r="C401" s="60" t="s">
        <v>97</v>
      </c>
      <c r="D401" s="52"/>
      <c r="E401" s="70">
        <v>0</v>
      </c>
      <c r="F401" s="70">
        <v>0</v>
      </c>
      <c r="G401" s="70">
        <v>0</v>
      </c>
      <c r="H401" s="71">
        <v>0</v>
      </c>
      <c r="I401" s="71">
        <v>0</v>
      </c>
      <c r="J401" s="71">
        <v>0</v>
      </c>
      <c r="K401" s="71">
        <v>0</v>
      </c>
      <c r="L401" s="71">
        <v>0</v>
      </c>
      <c r="M401" s="71">
        <v>0</v>
      </c>
    </row>
    <row r="402" spans="1:13" ht="54" customHeight="1" x14ac:dyDescent="0.3">
      <c r="A402" s="557"/>
      <c r="B402" s="560"/>
      <c r="C402" s="59" t="s">
        <v>98</v>
      </c>
      <c r="D402" s="52"/>
      <c r="E402" s="70">
        <v>0</v>
      </c>
      <c r="F402" s="70">
        <v>0</v>
      </c>
      <c r="G402" s="70">
        <v>0</v>
      </c>
      <c r="H402" s="71">
        <v>0</v>
      </c>
      <c r="I402" s="71">
        <v>0</v>
      </c>
      <c r="J402" s="71">
        <v>0</v>
      </c>
      <c r="K402" s="71">
        <v>0</v>
      </c>
      <c r="L402" s="71">
        <v>0</v>
      </c>
      <c r="M402" s="71">
        <v>0</v>
      </c>
    </row>
    <row r="403" spans="1:13" ht="33.75" customHeight="1" x14ac:dyDescent="0.3">
      <c r="A403" s="561" t="s">
        <v>217</v>
      </c>
      <c r="B403" s="571" t="s">
        <v>148</v>
      </c>
      <c r="C403" s="54" t="s">
        <v>159</v>
      </c>
      <c r="D403" s="64" t="s">
        <v>401</v>
      </c>
      <c r="E403" s="72">
        <f>SUM(E404:E409)</f>
        <v>65200</v>
      </c>
      <c r="F403" s="72">
        <f t="shared" ref="F403:G403" si="72">SUM(F404:F409)</f>
        <v>49984.1</v>
      </c>
      <c r="G403" s="72">
        <f t="shared" si="72"/>
        <v>5565.64</v>
      </c>
      <c r="H403" s="85">
        <f>SUM(H404:H409)</f>
        <v>0</v>
      </c>
      <c r="I403" s="72">
        <f>SUM(I404:I409)</f>
        <v>8280.3700000000008</v>
      </c>
      <c r="J403" s="85">
        <f>SUM(J404:J409)</f>
        <v>0</v>
      </c>
      <c r="K403" s="72">
        <f>SUM(K404:K409)</f>
        <v>0</v>
      </c>
      <c r="L403" s="85">
        <f>SUM(L404:L409)</f>
        <v>0</v>
      </c>
      <c r="M403" s="85">
        <f>SUM(E403:L403)</f>
        <v>129030.11</v>
      </c>
    </row>
    <row r="404" spans="1:13" ht="37.5" customHeight="1" x14ac:dyDescent="0.3">
      <c r="A404" s="556"/>
      <c r="B404" s="572"/>
      <c r="C404" s="60" t="s">
        <v>93</v>
      </c>
      <c r="D404" s="52"/>
      <c r="E404" s="70">
        <v>0</v>
      </c>
      <c r="F404" s="70">
        <v>0</v>
      </c>
      <c r="G404" s="70">
        <v>0</v>
      </c>
      <c r="H404" s="71">
        <v>0</v>
      </c>
      <c r="I404" s="70">
        <v>0</v>
      </c>
      <c r="J404" s="71">
        <v>0</v>
      </c>
      <c r="K404" s="70">
        <v>0</v>
      </c>
      <c r="L404" s="71">
        <v>0</v>
      </c>
      <c r="M404" s="71">
        <v>0</v>
      </c>
    </row>
    <row r="405" spans="1:13" ht="32.25" customHeight="1" x14ac:dyDescent="0.3">
      <c r="A405" s="556"/>
      <c r="B405" s="572"/>
      <c r="C405" s="60" t="s">
        <v>94</v>
      </c>
      <c r="D405" s="52" t="s">
        <v>401</v>
      </c>
      <c r="E405" s="70">
        <f>'Приложение 5'!H176</f>
        <v>30400</v>
      </c>
      <c r="F405" s="70">
        <f>'Приложение 5'!I177</f>
        <v>8384.1</v>
      </c>
      <c r="G405" s="70">
        <f>'Приложение 5'!J177</f>
        <v>5565.64</v>
      </c>
      <c r="H405" s="71">
        <f>'Приложение 5'!K178</f>
        <v>0</v>
      </c>
      <c r="I405" s="70">
        <f>'Приложение 5'!L178+'Приложение 5'!L179</f>
        <v>8280.3700000000008</v>
      </c>
      <c r="J405" s="70">
        <f>'Приложение 5'!M178+'Приложение 5'!M179</f>
        <v>0</v>
      </c>
      <c r="K405" s="70">
        <f>'Приложение 5'!N178+'Приложение 5'!N179</f>
        <v>0</v>
      </c>
      <c r="L405" s="70">
        <f>'Приложение 5'!O178+'Приложение 5'!O179</f>
        <v>0</v>
      </c>
      <c r="M405" s="71">
        <f>'Приложение 5'!P176</f>
        <v>44349.74</v>
      </c>
    </row>
    <row r="406" spans="1:13" ht="52.5" customHeight="1" x14ac:dyDescent="0.3">
      <c r="A406" s="556"/>
      <c r="B406" s="572"/>
      <c r="C406" s="59" t="s">
        <v>95</v>
      </c>
      <c r="D406" s="52"/>
      <c r="E406" s="70">
        <v>34800</v>
      </c>
      <c r="F406" s="70">
        <v>41600</v>
      </c>
      <c r="G406" s="70">
        <v>0</v>
      </c>
      <c r="H406" s="71">
        <v>0</v>
      </c>
      <c r="I406" s="70">
        <v>0</v>
      </c>
      <c r="J406" s="70">
        <v>0</v>
      </c>
      <c r="K406" s="70">
        <v>0</v>
      </c>
      <c r="L406" s="70">
        <v>0</v>
      </c>
      <c r="M406" s="71">
        <f>SUM(E406:L406)</f>
        <v>76400</v>
      </c>
    </row>
    <row r="407" spans="1:13" ht="75" customHeight="1" x14ac:dyDescent="0.3">
      <c r="A407" s="556"/>
      <c r="B407" s="572"/>
      <c r="C407" s="60" t="s">
        <v>96</v>
      </c>
      <c r="D407" s="52"/>
      <c r="E407" s="70">
        <v>0</v>
      </c>
      <c r="F407" s="70">
        <v>0</v>
      </c>
      <c r="G407" s="70">
        <v>0</v>
      </c>
      <c r="H407" s="71">
        <v>0</v>
      </c>
      <c r="I407" s="70">
        <v>0</v>
      </c>
      <c r="J407" s="70">
        <v>0</v>
      </c>
      <c r="K407" s="70">
        <v>0</v>
      </c>
      <c r="L407" s="70">
        <v>0</v>
      </c>
      <c r="M407" s="71">
        <v>0</v>
      </c>
    </row>
    <row r="408" spans="1:13" ht="78" customHeight="1" x14ac:dyDescent="0.3">
      <c r="A408" s="556"/>
      <c r="B408" s="572"/>
      <c r="C408" s="60" t="s">
        <v>97</v>
      </c>
      <c r="D408" s="52"/>
      <c r="E408" s="70">
        <v>0</v>
      </c>
      <c r="F408" s="70">
        <v>0</v>
      </c>
      <c r="G408" s="70">
        <v>0</v>
      </c>
      <c r="H408" s="71">
        <v>0</v>
      </c>
      <c r="I408" s="70">
        <v>0</v>
      </c>
      <c r="J408" s="70">
        <v>0</v>
      </c>
      <c r="K408" s="70">
        <v>0</v>
      </c>
      <c r="L408" s="70">
        <v>0</v>
      </c>
      <c r="M408" s="71">
        <v>0</v>
      </c>
    </row>
    <row r="409" spans="1:13" ht="57" customHeight="1" x14ac:dyDescent="0.3">
      <c r="A409" s="557"/>
      <c r="B409" s="573"/>
      <c r="C409" s="59" t="s">
        <v>98</v>
      </c>
      <c r="D409" s="52"/>
      <c r="E409" s="70">
        <v>0</v>
      </c>
      <c r="F409" s="70">
        <v>0</v>
      </c>
      <c r="G409" s="70">
        <v>0</v>
      </c>
      <c r="H409" s="71">
        <v>0</v>
      </c>
      <c r="I409" s="70">
        <v>0</v>
      </c>
      <c r="J409" s="70">
        <v>0</v>
      </c>
      <c r="K409" s="70">
        <v>0</v>
      </c>
      <c r="L409" s="70">
        <v>0</v>
      </c>
      <c r="M409" s="71">
        <v>0</v>
      </c>
    </row>
    <row r="410" spans="1:13" ht="49.5" x14ac:dyDescent="0.3">
      <c r="A410" s="561" t="s">
        <v>133</v>
      </c>
      <c r="B410" s="571" t="s">
        <v>380</v>
      </c>
      <c r="C410" s="54" t="s">
        <v>159</v>
      </c>
      <c r="D410" s="113" t="s">
        <v>289</v>
      </c>
      <c r="E410" s="85">
        <f t="shared" ref="E410:G410" si="73">SUM(E411:E416)</f>
        <v>0</v>
      </c>
      <c r="F410" s="85">
        <f t="shared" si="73"/>
        <v>0</v>
      </c>
      <c r="G410" s="85">
        <f t="shared" si="73"/>
        <v>0</v>
      </c>
      <c r="H410" s="85">
        <f>SUM(H411:H416)</f>
        <v>60039.75</v>
      </c>
      <c r="I410" s="85">
        <f t="shared" ref="I410:L410" si="74">SUM(I411:I416)</f>
        <v>7839.75</v>
      </c>
      <c r="J410" s="85">
        <f t="shared" si="74"/>
        <v>0</v>
      </c>
      <c r="K410" s="85">
        <f t="shared" si="74"/>
        <v>0</v>
      </c>
      <c r="L410" s="85">
        <f t="shared" si="74"/>
        <v>0</v>
      </c>
      <c r="M410" s="85">
        <f>SUM(H410:L410)</f>
        <v>67879.5</v>
      </c>
    </row>
    <row r="411" spans="1:13" ht="42" customHeight="1" x14ac:dyDescent="0.3">
      <c r="A411" s="556"/>
      <c r="B411" s="572"/>
      <c r="C411" s="60" t="s">
        <v>93</v>
      </c>
      <c r="D411" s="52"/>
      <c r="E411" s="71">
        <v>0</v>
      </c>
      <c r="F411" s="71">
        <v>0</v>
      </c>
      <c r="G411" s="71">
        <v>0</v>
      </c>
      <c r="H411" s="71">
        <v>0</v>
      </c>
      <c r="I411" s="71">
        <v>0</v>
      </c>
      <c r="J411" s="71">
        <v>0</v>
      </c>
      <c r="K411" s="71">
        <v>0</v>
      </c>
      <c r="L411" s="71">
        <v>0</v>
      </c>
      <c r="M411" s="71">
        <v>0</v>
      </c>
    </row>
    <row r="412" spans="1:13" ht="66" customHeight="1" x14ac:dyDescent="0.3">
      <c r="A412" s="556"/>
      <c r="B412" s="572"/>
      <c r="C412" s="60" t="s">
        <v>94</v>
      </c>
      <c r="D412" s="114" t="s">
        <v>349</v>
      </c>
      <c r="E412" s="71">
        <v>0</v>
      </c>
      <c r="F412" s="71">
        <v>0</v>
      </c>
      <c r="G412" s="71">
        <v>0</v>
      </c>
      <c r="H412" s="71">
        <f>'Приложение 5'!K180</f>
        <v>45000</v>
      </c>
      <c r="I412" s="70">
        <f>'Приложение 5'!L180</f>
        <v>4800</v>
      </c>
      <c r="J412" s="70">
        <f>'Приложение 5'!M180</f>
        <v>0</v>
      </c>
      <c r="K412" s="70">
        <f>'Приложение 5'!N180</f>
        <v>0</v>
      </c>
      <c r="L412" s="70">
        <f>'Приложение 5'!O180</f>
        <v>0</v>
      </c>
      <c r="M412" s="71">
        <f>'Приложение 5'!P180</f>
        <v>49800</v>
      </c>
    </row>
    <row r="413" spans="1:13" ht="57" customHeight="1" x14ac:dyDescent="0.3">
      <c r="A413" s="556"/>
      <c r="B413" s="572"/>
      <c r="C413" s="59" t="s">
        <v>95</v>
      </c>
      <c r="D413" s="52"/>
      <c r="E413" s="71">
        <v>0</v>
      </c>
      <c r="F413" s="71">
        <v>0</v>
      </c>
      <c r="G413" s="71">
        <v>0</v>
      </c>
      <c r="H413" s="71">
        <v>0</v>
      </c>
      <c r="I413" s="71">
        <v>0</v>
      </c>
      <c r="J413" s="71">
        <v>0</v>
      </c>
      <c r="K413" s="71">
        <v>0</v>
      </c>
      <c r="L413" s="71">
        <v>0</v>
      </c>
      <c r="M413" s="71">
        <v>0</v>
      </c>
    </row>
    <row r="414" spans="1:13" ht="83.1" customHeight="1" x14ac:dyDescent="0.3">
      <c r="A414" s="556"/>
      <c r="B414" s="572"/>
      <c r="C414" s="59" t="s">
        <v>96</v>
      </c>
      <c r="D414" s="69"/>
      <c r="E414" s="71">
        <v>0</v>
      </c>
      <c r="F414" s="71">
        <v>0</v>
      </c>
      <c r="G414" s="71">
        <v>0</v>
      </c>
      <c r="H414" s="71">
        <v>0</v>
      </c>
      <c r="I414" s="71">
        <v>0</v>
      </c>
      <c r="J414" s="71">
        <v>0</v>
      </c>
      <c r="K414" s="71">
        <v>0</v>
      </c>
      <c r="L414" s="71">
        <v>0</v>
      </c>
      <c r="M414" s="71">
        <v>0</v>
      </c>
    </row>
    <row r="415" spans="1:13" ht="83.1" customHeight="1" x14ac:dyDescent="0.3">
      <c r="A415" s="556"/>
      <c r="B415" s="572"/>
      <c r="C415" s="60" t="s">
        <v>97</v>
      </c>
      <c r="D415" s="52"/>
      <c r="E415" s="71">
        <v>0</v>
      </c>
      <c r="F415" s="71">
        <v>0</v>
      </c>
      <c r="G415" s="71">
        <v>0</v>
      </c>
      <c r="H415" s="71">
        <v>0</v>
      </c>
      <c r="I415" s="71">
        <v>0</v>
      </c>
      <c r="J415" s="71">
        <v>0</v>
      </c>
      <c r="K415" s="71">
        <v>0</v>
      </c>
      <c r="L415" s="71">
        <v>0</v>
      </c>
      <c r="M415" s="71">
        <v>0</v>
      </c>
    </row>
    <row r="416" spans="1:13" ht="57" customHeight="1" x14ac:dyDescent="0.3">
      <c r="A416" s="557"/>
      <c r="B416" s="573"/>
      <c r="C416" s="59" t="s">
        <v>98</v>
      </c>
      <c r="D416" s="52"/>
      <c r="E416" s="71">
        <v>0</v>
      </c>
      <c r="F416" s="71">
        <v>0</v>
      </c>
      <c r="G416" s="71">
        <v>0</v>
      </c>
      <c r="H416" s="71">
        <f>H423+H430+H437+H444+H451+H458++H465</f>
        <v>15039.75</v>
      </c>
      <c r="I416" s="71">
        <f t="shared" ref="I416:L416" si="75">I423+I430+I437+I444+I451+I458++I465</f>
        <v>3039.75</v>
      </c>
      <c r="J416" s="71">
        <f t="shared" si="75"/>
        <v>0</v>
      </c>
      <c r="K416" s="71">
        <f t="shared" si="75"/>
        <v>0</v>
      </c>
      <c r="L416" s="71">
        <f t="shared" si="75"/>
        <v>0</v>
      </c>
      <c r="M416" s="71">
        <f>SUM(H416:L416)</f>
        <v>18079.5</v>
      </c>
    </row>
    <row r="417" spans="1:13" ht="27.95" customHeight="1" x14ac:dyDescent="0.3">
      <c r="A417" s="561" t="s">
        <v>218</v>
      </c>
      <c r="B417" s="571" t="s">
        <v>320</v>
      </c>
      <c r="C417" s="54" t="s">
        <v>159</v>
      </c>
      <c r="D417" s="64">
        <v>763</v>
      </c>
      <c r="E417" s="85">
        <f t="shared" ref="E417:G417" si="76">SUM(E418:E423)</f>
        <v>0</v>
      </c>
      <c r="F417" s="85">
        <f t="shared" si="76"/>
        <v>0</v>
      </c>
      <c r="G417" s="85">
        <f t="shared" si="76"/>
        <v>0</v>
      </c>
      <c r="H417" s="85">
        <f>SUM(H418:H423)</f>
        <v>0</v>
      </c>
      <c r="I417" s="72">
        <f>SUM(I418:I423)</f>
        <v>0</v>
      </c>
      <c r="J417" s="85">
        <f>SUM(J418:J423)</f>
        <v>0</v>
      </c>
      <c r="K417" s="72">
        <f>SUM(K418:K423)</f>
        <v>0</v>
      </c>
      <c r="L417" s="85">
        <f>SUM(L418:L423)</f>
        <v>0</v>
      </c>
      <c r="M417" s="85">
        <f>SUM(H417:L417)</f>
        <v>0</v>
      </c>
    </row>
    <row r="418" spans="1:13" ht="42" customHeight="1" x14ac:dyDescent="0.3">
      <c r="A418" s="556"/>
      <c r="B418" s="572"/>
      <c r="C418" s="60" t="s">
        <v>93</v>
      </c>
      <c r="D418" s="52"/>
      <c r="E418" s="70">
        <v>0</v>
      </c>
      <c r="F418" s="71">
        <v>0</v>
      </c>
      <c r="G418" s="70">
        <v>0</v>
      </c>
      <c r="H418" s="71">
        <v>0</v>
      </c>
      <c r="I418" s="70">
        <v>0</v>
      </c>
      <c r="J418" s="71">
        <v>0</v>
      </c>
      <c r="K418" s="70">
        <v>0</v>
      </c>
      <c r="L418" s="71">
        <v>0</v>
      </c>
      <c r="M418" s="71">
        <v>0</v>
      </c>
    </row>
    <row r="419" spans="1:13" ht="27.95" customHeight="1" x14ac:dyDescent="0.3">
      <c r="A419" s="556"/>
      <c r="B419" s="572"/>
      <c r="C419" s="60" t="s">
        <v>94</v>
      </c>
      <c r="D419" s="52">
        <v>763</v>
      </c>
      <c r="E419" s="71">
        <f>'Приложение 5'!H185</f>
        <v>0</v>
      </c>
      <c r="F419" s="71">
        <f>'Приложение 5'!I185</f>
        <v>0</v>
      </c>
      <c r="G419" s="71">
        <f>'Приложение 5'!J185</f>
        <v>0</v>
      </c>
      <c r="H419" s="71">
        <f>'Приложение 5'!K185</f>
        <v>0</v>
      </c>
      <c r="I419" s="70">
        <f>'Приложение 5'!L185</f>
        <v>0</v>
      </c>
      <c r="J419" s="71">
        <f>'Приложение 5'!M185</f>
        <v>0</v>
      </c>
      <c r="K419" s="70">
        <f>'Приложение 5'!N185</f>
        <v>0</v>
      </c>
      <c r="L419" s="71">
        <f>'Приложение 5'!O185</f>
        <v>0</v>
      </c>
      <c r="M419" s="71">
        <f>'Приложение 5'!P185</f>
        <v>0</v>
      </c>
    </row>
    <row r="420" spans="1:13" ht="57" customHeight="1" x14ac:dyDescent="0.3">
      <c r="A420" s="556"/>
      <c r="B420" s="572"/>
      <c r="C420" s="59" t="s">
        <v>95</v>
      </c>
      <c r="D420" s="52"/>
      <c r="E420" s="71">
        <v>0</v>
      </c>
      <c r="F420" s="71">
        <v>0</v>
      </c>
      <c r="G420" s="71">
        <v>0</v>
      </c>
      <c r="H420" s="71">
        <v>0</v>
      </c>
      <c r="I420" s="70">
        <v>0</v>
      </c>
      <c r="J420" s="70">
        <v>0</v>
      </c>
      <c r="K420" s="70">
        <v>0</v>
      </c>
      <c r="L420" s="70">
        <v>0</v>
      </c>
      <c r="M420" s="71">
        <v>0</v>
      </c>
    </row>
    <row r="421" spans="1:13" ht="83.1" customHeight="1" x14ac:dyDescent="0.3">
      <c r="A421" s="556"/>
      <c r="B421" s="572"/>
      <c r="C421" s="60" t="s">
        <v>96</v>
      </c>
      <c r="D421" s="52"/>
      <c r="E421" s="71">
        <v>0</v>
      </c>
      <c r="F421" s="71">
        <v>0</v>
      </c>
      <c r="G421" s="71">
        <v>0</v>
      </c>
      <c r="H421" s="71">
        <v>0</v>
      </c>
      <c r="I421" s="70">
        <v>0</v>
      </c>
      <c r="J421" s="70">
        <v>0</v>
      </c>
      <c r="K421" s="70">
        <v>0</v>
      </c>
      <c r="L421" s="70">
        <v>0</v>
      </c>
      <c r="M421" s="71">
        <v>0</v>
      </c>
    </row>
    <row r="422" spans="1:13" ht="83.1" customHeight="1" x14ac:dyDescent="0.3">
      <c r="A422" s="556"/>
      <c r="B422" s="572"/>
      <c r="C422" s="60" t="s">
        <v>97</v>
      </c>
      <c r="D422" s="52"/>
      <c r="E422" s="71">
        <v>0</v>
      </c>
      <c r="F422" s="71">
        <v>0</v>
      </c>
      <c r="G422" s="71">
        <v>0</v>
      </c>
      <c r="H422" s="71">
        <v>0</v>
      </c>
      <c r="I422" s="70">
        <v>0</v>
      </c>
      <c r="J422" s="70">
        <v>0</v>
      </c>
      <c r="K422" s="70">
        <v>0</v>
      </c>
      <c r="L422" s="70">
        <v>0</v>
      </c>
      <c r="M422" s="71">
        <v>0</v>
      </c>
    </row>
    <row r="423" spans="1:13" ht="57" customHeight="1" x14ac:dyDescent="0.3">
      <c r="A423" s="557"/>
      <c r="B423" s="573"/>
      <c r="C423" s="59" t="s">
        <v>98</v>
      </c>
      <c r="D423" s="52"/>
      <c r="E423" s="71">
        <v>0</v>
      </c>
      <c r="F423" s="71">
        <v>0</v>
      </c>
      <c r="G423" s="71">
        <v>0</v>
      </c>
      <c r="H423" s="71">
        <v>0</v>
      </c>
      <c r="I423" s="70">
        <v>0</v>
      </c>
      <c r="J423" s="70">
        <v>0</v>
      </c>
      <c r="K423" s="70">
        <v>0</v>
      </c>
      <c r="L423" s="70">
        <v>0</v>
      </c>
      <c r="M423" s="71">
        <v>0</v>
      </c>
    </row>
    <row r="424" spans="1:13" ht="27.95" customHeight="1" x14ac:dyDescent="0.3">
      <c r="A424" s="561" t="s">
        <v>219</v>
      </c>
      <c r="B424" s="571" t="s">
        <v>314</v>
      </c>
      <c r="C424" s="54" t="s">
        <v>159</v>
      </c>
      <c r="D424" s="64">
        <v>763</v>
      </c>
      <c r="E424" s="85">
        <f>SUM(E425:E430)</f>
        <v>0</v>
      </c>
      <c r="F424" s="85">
        <f t="shared" ref="F424:L424" si="77">SUM(F425:F430)</f>
        <v>0</v>
      </c>
      <c r="G424" s="85">
        <f t="shared" si="77"/>
        <v>0</v>
      </c>
      <c r="H424" s="85">
        <f t="shared" si="77"/>
        <v>15039.75</v>
      </c>
      <c r="I424" s="85">
        <f t="shared" si="77"/>
        <v>3039.75</v>
      </c>
      <c r="J424" s="85">
        <f t="shared" si="77"/>
        <v>0</v>
      </c>
      <c r="K424" s="85">
        <f t="shared" si="77"/>
        <v>0</v>
      </c>
      <c r="L424" s="85">
        <f t="shared" si="77"/>
        <v>0</v>
      </c>
      <c r="M424" s="85">
        <v>18079.5</v>
      </c>
    </row>
    <row r="425" spans="1:13" ht="42" customHeight="1" x14ac:dyDescent="0.3">
      <c r="A425" s="556"/>
      <c r="B425" s="572"/>
      <c r="C425" s="60" t="s">
        <v>93</v>
      </c>
      <c r="D425" s="52"/>
      <c r="E425" s="70">
        <v>0</v>
      </c>
      <c r="F425" s="71">
        <v>0</v>
      </c>
      <c r="G425" s="70">
        <v>0</v>
      </c>
      <c r="H425" s="71">
        <v>0</v>
      </c>
      <c r="I425" s="70">
        <v>0</v>
      </c>
      <c r="J425" s="71">
        <v>0</v>
      </c>
      <c r="K425" s="70">
        <v>0</v>
      </c>
      <c r="L425" s="71">
        <v>0</v>
      </c>
      <c r="M425" s="71">
        <v>0</v>
      </c>
    </row>
    <row r="426" spans="1:13" ht="27.95" customHeight="1" x14ac:dyDescent="0.3">
      <c r="A426" s="556"/>
      <c r="B426" s="572"/>
      <c r="C426" s="60" t="s">
        <v>94</v>
      </c>
      <c r="D426" s="52"/>
      <c r="E426" s="71">
        <f>'Приложение 5'!H186</f>
        <v>0</v>
      </c>
      <c r="F426" s="71">
        <f>'Приложение 5'!I186</f>
        <v>0</v>
      </c>
      <c r="G426" s="71">
        <f>'Приложение 5'!J186</f>
        <v>0</v>
      </c>
      <c r="H426" s="71">
        <f>'Приложение 5'!K186</f>
        <v>0</v>
      </c>
      <c r="I426" s="70">
        <f>'Приложение 5'!L186</f>
        <v>0</v>
      </c>
      <c r="J426" s="71">
        <f>'Приложение 5'!M186</f>
        <v>0</v>
      </c>
      <c r="K426" s="70">
        <f>'Приложение 5'!N186</f>
        <v>0</v>
      </c>
      <c r="L426" s="71">
        <f>'Приложение 5'!O186</f>
        <v>0</v>
      </c>
      <c r="M426" s="71">
        <f>'Приложение 5'!P186</f>
        <v>0</v>
      </c>
    </row>
    <row r="427" spans="1:13" ht="57" customHeight="1" x14ac:dyDescent="0.3">
      <c r="A427" s="556"/>
      <c r="B427" s="572"/>
      <c r="C427" s="59" t="s">
        <v>95</v>
      </c>
      <c r="D427" s="52"/>
      <c r="E427" s="71">
        <v>0</v>
      </c>
      <c r="F427" s="71">
        <v>0</v>
      </c>
      <c r="G427" s="71">
        <v>0</v>
      </c>
      <c r="H427" s="71">
        <v>0</v>
      </c>
      <c r="I427" s="70">
        <v>0</v>
      </c>
      <c r="J427" s="70">
        <v>0</v>
      </c>
      <c r="K427" s="70">
        <v>0</v>
      </c>
      <c r="L427" s="70">
        <v>0</v>
      </c>
      <c r="M427" s="71">
        <v>0</v>
      </c>
    </row>
    <row r="428" spans="1:13" ht="83.1" customHeight="1" x14ac:dyDescent="0.3">
      <c r="A428" s="556"/>
      <c r="B428" s="572"/>
      <c r="C428" s="60" t="s">
        <v>96</v>
      </c>
      <c r="D428" s="52"/>
      <c r="E428" s="71">
        <v>0</v>
      </c>
      <c r="F428" s="71">
        <v>0</v>
      </c>
      <c r="G428" s="71">
        <v>0</v>
      </c>
      <c r="H428" s="71">
        <v>0</v>
      </c>
      <c r="I428" s="70">
        <v>0</v>
      </c>
      <c r="J428" s="70">
        <v>0</v>
      </c>
      <c r="K428" s="70">
        <v>0</v>
      </c>
      <c r="L428" s="70">
        <v>0</v>
      </c>
      <c r="M428" s="71">
        <v>0</v>
      </c>
    </row>
    <row r="429" spans="1:13" ht="83.1" customHeight="1" x14ac:dyDescent="0.3">
      <c r="A429" s="556"/>
      <c r="B429" s="572"/>
      <c r="C429" s="59" t="s">
        <v>97</v>
      </c>
      <c r="D429" s="52"/>
      <c r="E429" s="71">
        <v>0</v>
      </c>
      <c r="F429" s="71">
        <v>0</v>
      </c>
      <c r="G429" s="71">
        <v>0</v>
      </c>
      <c r="H429" s="71">
        <v>0</v>
      </c>
      <c r="I429" s="70">
        <v>0</v>
      </c>
      <c r="J429" s="70">
        <v>0</v>
      </c>
      <c r="K429" s="70">
        <v>0</v>
      </c>
      <c r="L429" s="70">
        <v>0</v>
      </c>
      <c r="M429" s="71">
        <v>0</v>
      </c>
    </row>
    <row r="430" spans="1:13" ht="57" customHeight="1" x14ac:dyDescent="0.3">
      <c r="A430" s="557"/>
      <c r="B430" s="573"/>
      <c r="C430" s="59" t="s">
        <v>98</v>
      </c>
      <c r="D430" s="52"/>
      <c r="E430" s="71">
        <v>0</v>
      </c>
      <c r="F430" s="71">
        <v>0</v>
      </c>
      <c r="G430" s="71">
        <v>0</v>
      </c>
      <c r="H430" s="71">
        <v>15039.75</v>
      </c>
      <c r="I430" s="70">
        <v>3039.75</v>
      </c>
      <c r="J430" s="70">
        <v>0</v>
      </c>
      <c r="K430" s="70">
        <v>0</v>
      </c>
      <c r="L430" s="70">
        <v>0</v>
      </c>
      <c r="M430" s="71">
        <v>18079.5</v>
      </c>
    </row>
    <row r="431" spans="1:13" ht="27.95" customHeight="1" x14ac:dyDescent="0.3">
      <c r="A431" s="561" t="s">
        <v>220</v>
      </c>
      <c r="B431" s="571" t="s">
        <v>152</v>
      </c>
      <c r="C431" s="54" t="s">
        <v>159</v>
      </c>
      <c r="D431" s="63">
        <v>755</v>
      </c>
      <c r="E431" s="85">
        <f t="shared" ref="E431:G431" si="78">SUM(E432:E437)</f>
        <v>0</v>
      </c>
      <c r="F431" s="85">
        <f t="shared" si="78"/>
        <v>0</v>
      </c>
      <c r="G431" s="85">
        <f t="shared" si="78"/>
        <v>0</v>
      </c>
      <c r="H431" s="85">
        <f>SUM(H432:H437)</f>
        <v>0</v>
      </c>
      <c r="I431" s="85">
        <f>SUM(I432:I437)</f>
        <v>0</v>
      </c>
      <c r="J431" s="85">
        <f>SUM(J432:J437)</f>
        <v>0</v>
      </c>
      <c r="K431" s="85">
        <f>SUM(K432:K437)</f>
        <v>0</v>
      </c>
      <c r="L431" s="85">
        <f>SUM(L432:L437)</f>
        <v>0</v>
      </c>
      <c r="M431" s="85">
        <f>SUM(H431:L431)</f>
        <v>0</v>
      </c>
    </row>
    <row r="432" spans="1:13" ht="46.5" customHeight="1" x14ac:dyDescent="0.3">
      <c r="A432" s="556"/>
      <c r="B432" s="572"/>
      <c r="C432" s="60" t="s">
        <v>93</v>
      </c>
      <c r="D432" s="52"/>
      <c r="E432" s="70">
        <v>0</v>
      </c>
      <c r="F432" s="71">
        <v>0</v>
      </c>
      <c r="G432" s="70">
        <v>0</v>
      </c>
      <c r="H432" s="71">
        <v>0</v>
      </c>
      <c r="I432" s="70">
        <v>0</v>
      </c>
      <c r="J432" s="71">
        <v>0</v>
      </c>
      <c r="K432" s="70">
        <v>0</v>
      </c>
      <c r="L432" s="71">
        <v>0</v>
      </c>
      <c r="M432" s="71">
        <v>0</v>
      </c>
    </row>
    <row r="433" spans="1:13" ht="27.95" customHeight="1" x14ac:dyDescent="0.3">
      <c r="A433" s="556"/>
      <c r="B433" s="572"/>
      <c r="C433" s="60" t="s">
        <v>94</v>
      </c>
      <c r="D433" s="52">
        <v>755</v>
      </c>
      <c r="E433" s="71">
        <f>'Приложение 5'!H187</f>
        <v>0</v>
      </c>
      <c r="F433" s="71">
        <f>'Приложение 5'!I187</f>
        <v>0</v>
      </c>
      <c r="G433" s="71">
        <f>'Приложение 5'!J187</f>
        <v>0</v>
      </c>
      <c r="H433" s="71">
        <f>'Приложение 5'!K187</f>
        <v>0</v>
      </c>
      <c r="I433" s="70">
        <f>'Приложение 5'!L187</f>
        <v>0</v>
      </c>
      <c r="J433" s="71">
        <f>'Приложение 5'!M187</f>
        <v>0</v>
      </c>
      <c r="K433" s="70">
        <f>'Приложение 5'!N187</f>
        <v>0</v>
      </c>
      <c r="L433" s="71">
        <f>'Приложение 5'!O187</f>
        <v>0</v>
      </c>
      <c r="M433" s="71">
        <f>'Приложение 5'!P187</f>
        <v>0</v>
      </c>
    </row>
    <row r="434" spans="1:13" ht="65.25" customHeight="1" x14ac:dyDescent="0.3">
      <c r="A434" s="556"/>
      <c r="B434" s="572"/>
      <c r="C434" s="59" t="s">
        <v>95</v>
      </c>
      <c r="D434" s="52"/>
      <c r="E434" s="71">
        <v>0</v>
      </c>
      <c r="F434" s="71">
        <v>0</v>
      </c>
      <c r="G434" s="71">
        <v>0</v>
      </c>
      <c r="H434" s="71">
        <v>0</v>
      </c>
      <c r="I434" s="70">
        <v>0</v>
      </c>
      <c r="J434" s="70">
        <v>0</v>
      </c>
      <c r="K434" s="70">
        <v>0</v>
      </c>
      <c r="L434" s="70">
        <v>0</v>
      </c>
      <c r="M434" s="71">
        <v>0</v>
      </c>
    </row>
    <row r="435" spans="1:13" ht="90.75" customHeight="1" x14ac:dyDescent="0.3">
      <c r="A435" s="556"/>
      <c r="B435" s="572"/>
      <c r="C435" s="60" t="s">
        <v>96</v>
      </c>
      <c r="D435" s="52"/>
      <c r="E435" s="71">
        <v>0</v>
      </c>
      <c r="F435" s="71">
        <v>0</v>
      </c>
      <c r="G435" s="71">
        <v>0</v>
      </c>
      <c r="H435" s="71">
        <v>0</v>
      </c>
      <c r="I435" s="70">
        <v>0</v>
      </c>
      <c r="J435" s="70">
        <v>0</v>
      </c>
      <c r="K435" s="70">
        <v>0</v>
      </c>
      <c r="L435" s="70">
        <v>0</v>
      </c>
      <c r="M435" s="71">
        <v>0</v>
      </c>
    </row>
    <row r="436" spans="1:13" ht="87" customHeight="1" x14ac:dyDescent="0.3">
      <c r="A436" s="556"/>
      <c r="B436" s="572"/>
      <c r="C436" s="60" t="s">
        <v>97</v>
      </c>
      <c r="D436" s="52"/>
      <c r="E436" s="71">
        <v>0</v>
      </c>
      <c r="F436" s="71">
        <v>0</v>
      </c>
      <c r="G436" s="71">
        <v>0</v>
      </c>
      <c r="H436" s="71">
        <v>0</v>
      </c>
      <c r="I436" s="70">
        <v>0</v>
      </c>
      <c r="J436" s="70">
        <v>0</v>
      </c>
      <c r="K436" s="70">
        <v>0</v>
      </c>
      <c r="L436" s="70">
        <v>0</v>
      </c>
      <c r="M436" s="71">
        <v>0</v>
      </c>
    </row>
    <row r="437" spans="1:13" ht="57" customHeight="1" x14ac:dyDescent="0.3">
      <c r="A437" s="557"/>
      <c r="B437" s="573"/>
      <c r="C437" s="59" t="s">
        <v>98</v>
      </c>
      <c r="D437" s="52"/>
      <c r="E437" s="71">
        <v>0</v>
      </c>
      <c r="F437" s="71">
        <v>0</v>
      </c>
      <c r="G437" s="71">
        <v>0</v>
      </c>
      <c r="H437" s="71">
        <v>0</v>
      </c>
      <c r="I437" s="70">
        <v>0</v>
      </c>
      <c r="J437" s="70">
        <v>0</v>
      </c>
      <c r="K437" s="70">
        <v>0</v>
      </c>
      <c r="L437" s="70">
        <v>0</v>
      </c>
      <c r="M437" s="71">
        <v>0</v>
      </c>
    </row>
    <row r="438" spans="1:13" ht="27.95" customHeight="1" x14ac:dyDescent="0.3">
      <c r="A438" s="561" t="s">
        <v>221</v>
      </c>
      <c r="B438" s="571" t="s">
        <v>324</v>
      </c>
      <c r="C438" s="54" t="s">
        <v>159</v>
      </c>
      <c r="D438" s="64">
        <v>758</v>
      </c>
      <c r="E438" s="85">
        <f t="shared" ref="E438:G438" si="79">SUM(E439:E444)</f>
        <v>0</v>
      </c>
      <c r="F438" s="85">
        <f t="shared" si="79"/>
        <v>0</v>
      </c>
      <c r="G438" s="85">
        <f t="shared" si="79"/>
        <v>0</v>
      </c>
      <c r="H438" s="85">
        <f>SUM(H439:H444)</f>
        <v>0</v>
      </c>
      <c r="I438" s="72">
        <f>SUM(I439:I444)</f>
        <v>0</v>
      </c>
      <c r="J438" s="85">
        <f>SUM(J439:J444)</f>
        <v>0</v>
      </c>
      <c r="K438" s="72">
        <f>SUM(K439:K444)</f>
        <v>0</v>
      </c>
      <c r="L438" s="85">
        <f>SUM(L439:L444)</f>
        <v>0</v>
      </c>
      <c r="M438" s="85">
        <f>SUM(H438:L438)</f>
        <v>0</v>
      </c>
    </row>
    <row r="439" spans="1:13" ht="42" customHeight="1" x14ac:dyDescent="0.3">
      <c r="A439" s="556"/>
      <c r="B439" s="572"/>
      <c r="C439" s="60" t="s">
        <v>93</v>
      </c>
      <c r="D439" s="52"/>
      <c r="E439" s="70">
        <v>0</v>
      </c>
      <c r="F439" s="71">
        <v>0</v>
      </c>
      <c r="G439" s="70">
        <v>0</v>
      </c>
      <c r="H439" s="71">
        <v>0</v>
      </c>
      <c r="I439" s="70">
        <v>0</v>
      </c>
      <c r="J439" s="71">
        <v>0</v>
      </c>
      <c r="K439" s="70">
        <v>0</v>
      </c>
      <c r="L439" s="71">
        <v>0</v>
      </c>
      <c r="M439" s="71">
        <v>0</v>
      </c>
    </row>
    <row r="440" spans="1:13" ht="27.95" customHeight="1" x14ac:dyDescent="0.3">
      <c r="A440" s="556"/>
      <c r="B440" s="572"/>
      <c r="C440" s="60" t="s">
        <v>94</v>
      </c>
      <c r="D440" s="52">
        <v>758</v>
      </c>
      <c r="E440" s="71">
        <f>'Приложение 5'!H188</f>
        <v>0</v>
      </c>
      <c r="F440" s="71">
        <f>'Приложение 5'!I188</f>
        <v>0</v>
      </c>
      <c r="G440" s="71">
        <f>'Приложение 5'!J188</f>
        <v>0</v>
      </c>
      <c r="H440" s="71">
        <f>'Приложение 5'!K188</f>
        <v>0</v>
      </c>
      <c r="I440" s="70">
        <f>'Приложение 5'!L188</f>
        <v>0</v>
      </c>
      <c r="J440" s="71">
        <f>'Приложение 5'!M188</f>
        <v>0</v>
      </c>
      <c r="K440" s="70">
        <f>'Приложение 5'!N188</f>
        <v>0</v>
      </c>
      <c r="L440" s="71">
        <f>'Приложение 5'!O188</f>
        <v>0</v>
      </c>
      <c r="M440" s="71">
        <f>'Приложение 5'!P188</f>
        <v>0</v>
      </c>
    </row>
    <row r="441" spans="1:13" ht="57" customHeight="1" x14ac:dyDescent="0.3">
      <c r="A441" s="556"/>
      <c r="B441" s="572"/>
      <c r="C441" s="59" t="s">
        <v>95</v>
      </c>
      <c r="D441" s="52"/>
      <c r="E441" s="71">
        <v>0</v>
      </c>
      <c r="F441" s="71">
        <v>0</v>
      </c>
      <c r="G441" s="71">
        <v>0</v>
      </c>
      <c r="H441" s="71">
        <v>0</v>
      </c>
      <c r="I441" s="70">
        <v>0</v>
      </c>
      <c r="J441" s="70">
        <v>0</v>
      </c>
      <c r="K441" s="70">
        <v>0</v>
      </c>
      <c r="L441" s="70">
        <v>0</v>
      </c>
      <c r="M441" s="71">
        <v>0</v>
      </c>
    </row>
    <row r="442" spans="1:13" ht="83.1" customHeight="1" x14ac:dyDescent="0.3">
      <c r="A442" s="556"/>
      <c r="B442" s="572"/>
      <c r="C442" s="60" t="s">
        <v>96</v>
      </c>
      <c r="D442" s="52"/>
      <c r="E442" s="71">
        <v>0</v>
      </c>
      <c r="F442" s="71">
        <v>0</v>
      </c>
      <c r="G442" s="71">
        <v>0</v>
      </c>
      <c r="H442" s="71">
        <v>0</v>
      </c>
      <c r="I442" s="70">
        <v>0</v>
      </c>
      <c r="J442" s="70">
        <v>0</v>
      </c>
      <c r="K442" s="70">
        <v>0</v>
      </c>
      <c r="L442" s="70">
        <v>0</v>
      </c>
      <c r="M442" s="71">
        <v>0</v>
      </c>
    </row>
    <row r="443" spans="1:13" ht="83.1" customHeight="1" x14ac:dyDescent="0.3">
      <c r="A443" s="556"/>
      <c r="B443" s="572"/>
      <c r="C443" s="60" t="s">
        <v>97</v>
      </c>
      <c r="D443" s="52"/>
      <c r="E443" s="71">
        <v>0</v>
      </c>
      <c r="F443" s="71">
        <v>0</v>
      </c>
      <c r="G443" s="71">
        <v>0</v>
      </c>
      <c r="H443" s="71">
        <v>0</v>
      </c>
      <c r="I443" s="70">
        <v>0</v>
      </c>
      <c r="J443" s="70">
        <v>0</v>
      </c>
      <c r="K443" s="70">
        <v>0</v>
      </c>
      <c r="L443" s="70">
        <v>0</v>
      </c>
      <c r="M443" s="71">
        <v>0</v>
      </c>
    </row>
    <row r="444" spans="1:13" ht="57" customHeight="1" x14ac:dyDescent="0.3">
      <c r="A444" s="557"/>
      <c r="B444" s="573"/>
      <c r="C444" s="59" t="s">
        <v>98</v>
      </c>
      <c r="D444" s="52"/>
      <c r="E444" s="71">
        <v>0</v>
      </c>
      <c r="F444" s="71">
        <v>0</v>
      </c>
      <c r="G444" s="71">
        <v>0</v>
      </c>
      <c r="H444" s="71">
        <v>0</v>
      </c>
      <c r="I444" s="70">
        <v>0</v>
      </c>
      <c r="J444" s="70">
        <v>0</v>
      </c>
      <c r="K444" s="70">
        <v>0</v>
      </c>
      <c r="L444" s="70">
        <v>0</v>
      </c>
      <c r="M444" s="71">
        <v>0</v>
      </c>
    </row>
    <row r="445" spans="1:13" ht="27.95" customHeight="1" x14ac:dyDescent="0.3">
      <c r="A445" s="561" t="s">
        <v>398</v>
      </c>
      <c r="B445" s="571" t="s">
        <v>391</v>
      </c>
      <c r="C445" s="54" t="s">
        <v>159</v>
      </c>
      <c r="D445" s="64">
        <v>758</v>
      </c>
      <c r="E445" s="85">
        <f t="shared" ref="E445:G445" si="80">SUM(E446:E451)</f>
        <v>0</v>
      </c>
      <c r="F445" s="85">
        <f t="shared" si="80"/>
        <v>0</v>
      </c>
      <c r="G445" s="85">
        <f t="shared" si="80"/>
        <v>0</v>
      </c>
      <c r="H445" s="85">
        <f>SUM(H446:H451)</f>
        <v>0</v>
      </c>
      <c r="I445" s="72">
        <f>SUM(I446:I451)</f>
        <v>0</v>
      </c>
      <c r="J445" s="85">
        <f>SUM(J446:J451)</f>
        <v>0</v>
      </c>
      <c r="K445" s="72">
        <f>SUM(K446:K451)</f>
        <v>0</v>
      </c>
      <c r="L445" s="85">
        <f>SUM(L446:L451)</f>
        <v>0</v>
      </c>
      <c r="M445" s="85">
        <f>SUM(H445:L445)</f>
        <v>0</v>
      </c>
    </row>
    <row r="446" spans="1:13" ht="42" customHeight="1" x14ac:dyDescent="0.3">
      <c r="A446" s="556"/>
      <c r="B446" s="572"/>
      <c r="C446" s="60" t="s">
        <v>93</v>
      </c>
      <c r="D446" s="52"/>
      <c r="E446" s="70">
        <v>0</v>
      </c>
      <c r="F446" s="71">
        <v>0</v>
      </c>
      <c r="G446" s="70">
        <v>0</v>
      </c>
      <c r="H446" s="71">
        <v>0</v>
      </c>
      <c r="I446" s="70">
        <v>0</v>
      </c>
      <c r="J446" s="71">
        <v>0</v>
      </c>
      <c r="K446" s="70">
        <v>0</v>
      </c>
      <c r="L446" s="71">
        <v>0</v>
      </c>
      <c r="M446" s="71">
        <f t="shared" ref="M446:M447" si="81">SUM(H446:L446)</f>
        <v>0</v>
      </c>
    </row>
    <row r="447" spans="1:13" ht="27.95" customHeight="1" x14ac:dyDescent="0.3">
      <c r="A447" s="556"/>
      <c r="B447" s="572"/>
      <c r="C447" s="60" t="s">
        <v>94</v>
      </c>
      <c r="D447" s="52">
        <v>758</v>
      </c>
      <c r="E447" s="71">
        <f>'Приложение 5'!H189</f>
        <v>0</v>
      </c>
      <c r="F447" s="71">
        <f>'Приложение 5'!I189</f>
        <v>0</v>
      </c>
      <c r="G447" s="71">
        <f>'Приложение 5'!J189</f>
        <v>0</v>
      </c>
      <c r="H447" s="71">
        <f>'Приложение 5'!K189</f>
        <v>0</v>
      </c>
      <c r="I447" s="71">
        <f>'Приложение 5'!L189</f>
        <v>0</v>
      </c>
      <c r="J447" s="71">
        <f>'Приложение 5'!M189</f>
        <v>0</v>
      </c>
      <c r="K447" s="71">
        <f>'Приложение 5'!N189</f>
        <v>0</v>
      </c>
      <c r="L447" s="71">
        <f>'Приложение 5'!O189</f>
        <v>0</v>
      </c>
      <c r="M447" s="71">
        <f t="shared" si="81"/>
        <v>0</v>
      </c>
    </row>
    <row r="448" spans="1:13" ht="57" customHeight="1" x14ac:dyDescent="0.3">
      <c r="A448" s="556"/>
      <c r="B448" s="572"/>
      <c r="C448" s="59" t="s">
        <v>95</v>
      </c>
      <c r="D448" s="69"/>
      <c r="E448" s="71">
        <v>0</v>
      </c>
      <c r="F448" s="71">
        <v>0</v>
      </c>
      <c r="G448" s="71">
        <v>0</v>
      </c>
      <c r="H448" s="71">
        <v>0</v>
      </c>
      <c r="I448" s="71">
        <v>0</v>
      </c>
      <c r="J448" s="71">
        <v>0</v>
      </c>
      <c r="K448" s="71">
        <v>0</v>
      </c>
      <c r="L448" s="71">
        <v>0</v>
      </c>
      <c r="M448" s="71">
        <v>0</v>
      </c>
    </row>
    <row r="449" spans="1:13" ht="83.1" customHeight="1" x14ac:dyDescent="0.3">
      <c r="A449" s="556"/>
      <c r="B449" s="572"/>
      <c r="C449" s="60" t="s">
        <v>96</v>
      </c>
      <c r="D449" s="52"/>
      <c r="E449" s="71">
        <v>0</v>
      </c>
      <c r="F449" s="71">
        <v>0</v>
      </c>
      <c r="G449" s="71">
        <v>0</v>
      </c>
      <c r="H449" s="71">
        <v>0</v>
      </c>
      <c r="I449" s="70">
        <v>0</v>
      </c>
      <c r="J449" s="70">
        <v>0</v>
      </c>
      <c r="K449" s="70">
        <v>0</v>
      </c>
      <c r="L449" s="70">
        <v>0</v>
      </c>
      <c r="M449" s="71">
        <v>0</v>
      </c>
    </row>
    <row r="450" spans="1:13" ht="83.1" customHeight="1" x14ac:dyDescent="0.3">
      <c r="A450" s="556"/>
      <c r="B450" s="572"/>
      <c r="C450" s="60" t="s">
        <v>97</v>
      </c>
      <c r="D450" s="52"/>
      <c r="E450" s="71">
        <v>0</v>
      </c>
      <c r="F450" s="71">
        <v>0</v>
      </c>
      <c r="G450" s="71">
        <v>0</v>
      </c>
      <c r="H450" s="71">
        <v>0</v>
      </c>
      <c r="I450" s="70">
        <v>0</v>
      </c>
      <c r="J450" s="70">
        <v>0</v>
      </c>
      <c r="K450" s="70">
        <v>0</v>
      </c>
      <c r="L450" s="70">
        <v>0</v>
      </c>
      <c r="M450" s="71">
        <v>0</v>
      </c>
    </row>
    <row r="451" spans="1:13" ht="57" customHeight="1" x14ac:dyDescent="0.3">
      <c r="A451" s="557"/>
      <c r="B451" s="573"/>
      <c r="C451" s="59" t="s">
        <v>98</v>
      </c>
      <c r="D451" s="52"/>
      <c r="E451" s="71">
        <v>0</v>
      </c>
      <c r="F451" s="71">
        <v>0</v>
      </c>
      <c r="G451" s="71">
        <v>0</v>
      </c>
      <c r="H451" s="71">
        <v>0</v>
      </c>
      <c r="I451" s="70">
        <v>0</v>
      </c>
      <c r="J451" s="70">
        <v>0</v>
      </c>
      <c r="K451" s="70">
        <v>0</v>
      </c>
      <c r="L451" s="70">
        <v>0</v>
      </c>
      <c r="M451" s="71">
        <v>0</v>
      </c>
    </row>
    <row r="452" spans="1:13" ht="27.95" customHeight="1" x14ac:dyDescent="0.3">
      <c r="A452" s="561" t="s">
        <v>223</v>
      </c>
      <c r="B452" s="571" t="s">
        <v>155</v>
      </c>
      <c r="C452" s="54" t="s">
        <v>159</v>
      </c>
      <c r="D452" s="64">
        <v>775</v>
      </c>
      <c r="E452" s="85">
        <f t="shared" ref="E452:G452" si="82">SUM(E453:E458)</f>
        <v>0</v>
      </c>
      <c r="F452" s="85">
        <f t="shared" si="82"/>
        <v>0</v>
      </c>
      <c r="G452" s="85">
        <f t="shared" si="82"/>
        <v>0</v>
      </c>
      <c r="H452" s="85">
        <f>SUM(H453:H458)</f>
        <v>45000</v>
      </c>
      <c r="I452" s="72">
        <f>SUM(I453:I458)</f>
        <v>4800</v>
      </c>
      <c r="J452" s="85">
        <f>SUM(J453:J458)</f>
        <v>0</v>
      </c>
      <c r="K452" s="72">
        <f>SUM(K453:K458)</f>
        <v>0</v>
      </c>
      <c r="L452" s="85">
        <f>SUM(L453:L458)</f>
        <v>0</v>
      </c>
      <c r="M452" s="85">
        <f>SUM(H452:I452)</f>
        <v>49800</v>
      </c>
    </row>
    <row r="453" spans="1:13" ht="42" customHeight="1" x14ac:dyDescent="0.3">
      <c r="A453" s="556"/>
      <c r="B453" s="572"/>
      <c r="C453" s="60" t="s">
        <v>93</v>
      </c>
      <c r="D453" s="52"/>
      <c r="E453" s="70">
        <v>0</v>
      </c>
      <c r="F453" s="71">
        <v>0</v>
      </c>
      <c r="G453" s="70">
        <v>0</v>
      </c>
      <c r="H453" s="71">
        <v>0</v>
      </c>
      <c r="I453" s="70">
        <v>0</v>
      </c>
      <c r="J453" s="71">
        <v>0</v>
      </c>
      <c r="K453" s="70">
        <v>0</v>
      </c>
      <c r="L453" s="71">
        <v>0</v>
      </c>
      <c r="M453" s="71">
        <v>0</v>
      </c>
    </row>
    <row r="454" spans="1:13" ht="27.95" customHeight="1" x14ac:dyDescent="0.3">
      <c r="A454" s="556"/>
      <c r="B454" s="572"/>
      <c r="C454" s="60" t="s">
        <v>94</v>
      </c>
      <c r="D454" s="52">
        <v>775</v>
      </c>
      <c r="E454" s="71">
        <f>'Приложение 5'!H190</f>
        <v>0</v>
      </c>
      <c r="F454" s="71">
        <f>'Приложение 5'!I190</f>
        <v>0</v>
      </c>
      <c r="G454" s="71">
        <f>'Приложение 5'!J190</f>
        <v>0</v>
      </c>
      <c r="H454" s="71">
        <f>'Приложение 5'!K190</f>
        <v>45000</v>
      </c>
      <c r="I454" s="70">
        <f>'Приложение 5'!L190</f>
        <v>4800</v>
      </c>
      <c r="J454" s="71">
        <f>'Приложение 5'!M190</f>
        <v>0</v>
      </c>
      <c r="K454" s="70">
        <f>'Приложение 5'!N190</f>
        <v>0</v>
      </c>
      <c r="L454" s="71">
        <f>'Приложение 5'!O190</f>
        <v>0</v>
      </c>
      <c r="M454" s="71">
        <f>'Приложение 5'!P190</f>
        <v>49800</v>
      </c>
    </row>
    <row r="455" spans="1:13" ht="57" customHeight="1" x14ac:dyDescent="0.3">
      <c r="A455" s="556"/>
      <c r="B455" s="572"/>
      <c r="C455" s="59" t="s">
        <v>95</v>
      </c>
      <c r="D455" s="52"/>
      <c r="E455" s="71">
        <v>0</v>
      </c>
      <c r="F455" s="71">
        <v>0</v>
      </c>
      <c r="G455" s="71">
        <v>0</v>
      </c>
      <c r="H455" s="71">
        <v>0</v>
      </c>
      <c r="I455" s="70">
        <v>0</v>
      </c>
      <c r="J455" s="70">
        <v>0</v>
      </c>
      <c r="K455" s="70">
        <v>0</v>
      </c>
      <c r="L455" s="70">
        <v>0</v>
      </c>
      <c r="M455" s="71">
        <v>0</v>
      </c>
    </row>
    <row r="456" spans="1:13" ht="83.1" customHeight="1" x14ac:dyDescent="0.3">
      <c r="A456" s="556"/>
      <c r="B456" s="572"/>
      <c r="C456" s="60" t="s">
        <v>96</v>
      </c>
      <c r="D456" s="52"/>
      <c r="E456" s="71">
        <v>0</v>
      </c>
      <c r="F456" s="71">
        <v>0</v>
      </c>
      <c r="G456" s="71">
        <v>0</v>
      </c>
      <c r="H456" s="71">
        <v>0</v>
      </c>
      <c r="I456" s="70">
        <v>0</v>
      </c>
      <c r="J456" s="70">
        <v>0</v>
      </c>
      <c r="K456" s="70">
        <v>0</v>
      </c>
      <c r="L456" s="70">
        <v>0</v>
      </c>
      <c r="M456" s="71">
        <v>0</v>
      </c>
    </row>
    <row r="457" spans="1:13" ht="83.1" customHeight="1" x14ac:dyDescent="0.3">
      <c r="A457" s="556"/>
      <c r="B457" s="572"/>
      <c r="C457" s="60" t="s">
        <v>97</v>
      </c>
      <c r="D457" s="52"/>
      <c r="E457" s="71">
        <v>0</v>
      </c>
      <c r="F457" s="71">
        <v>0</v>
      </c>
      <c r="G457" s="71">
        <v>0</v>
      </c>
      <c r="H457" s="71">
        <v>0</v>
      </c>
      <c r="I457" s="70">
        <v>0</v>
      </c>
      <c r="J457" s="70">
        <v>0</v>
      </c>
      <c r="K457" s="70">
        <v>0</v>
      </c>
      <c r="L457" s="70">
        <v>0</v>
      </c>
      <c r="M457" s="71">
        <v>0</v>
      </c>
    </row>
    <row r="458" spans="1:13" ht="57" customHeight="1" x14ac:dyDescent="0.3">
      <c r="A458" s="557"/>
      <c r="B458" s="573"/>
      <c r="C458" s="59" t="s">
        <v>98</v>
      </c>
      <c r="D458" s="52"/>
      <c r="E458" s="71">
        <v>0</v>
      </c>
      <c r="F458" s="71">
        <v>0</v>
      </c>
      <c r="G458" s="71">
        <v>0</v>
      </c>
      <c r="H458" s="71">
        <v>0</v>
      </c>
      <c r="I458" s="70">
        <v>0</v>
      </c>
      <c r="J458" s="70">
        <v>0</v>
      </c>
      <c r="K458" s="70">
        <v>0</v>
      </c>
      <c r="L458" s="70">
        <v>0</v>
      </c>
      <c r="M458" s="71">
        <v>0</v>
      </c>
    </row>
    <row r="459" spans="1:13" ht="27.95" customHeight="1" x14ac:dyDescent="0.3">
      <c r="A459" s="561" t="s">
        <v>224</v>
      </c>
      <c r="B459" s="558" t="s">
        <v>156</v>
      </c>
      <c r="C459" s="54" t="s">
        <v>159</v>
      </c>
      <c r="D459" s="64">
        <v>755</v>
      </c>
      <c r="E459" s="85">
        <f t="shared" ref="E459:G459" si="83">SUM(E460:E465)</f>
        <v>0</v>
      </c>
      <c r="F459" s="85">
        <f t="shared" si="83"/>
        <v>0</v>
      </c>
      <c r="G459" s="85">
        <f t="shared" si="83"/>
        <v>0</v>
      </c>
      <c r="H459" s="85">
        <f>SUM(H460:H465)</f>
        <v>0</v>
      </c>
      <c r="I459" s="72">
        <f>SUM(I460:I465)</f>
        <v>0</v>
      </c>
      <c r="J459" s="85">
        <f>SUM(J460:J465)</f>
        <v>0</v>
      </c>
      <c r="K459" s="72">
        <f>SUM(K460:K465)</f>
        <v>0</v>
      </c>
      <c r="L459" s="85">
        <f>SUM(L460:L465)</f>
        <v>0</v>
      </c>
      <c r="M459" s="85">
        <f>SUM(H459:I459)</f>
        <v>0</v>
      </c>
    </row>
    <row r="460" spans="1:13" ht="42" customHeight="1" x14ac:dyDescent="0.3">
      <c r="A460" s="556"/>
      <c r="B460" s="559"/>
      <c r="C460" s="60" t="s">
        <v>93</v>
      </c>
      <c r="D460" s="52"/>
      <c r="E460" s="70">
        <v>0</v>
      </c>
      <c r="F460" s="71">
        <v>0</v>
      </c>
      <c r="G460" s="70">
        <v>0</v>
      </c>
      <c r="H460" s="71">
        <v>0</v>
      </c>
      <c r="I460" s="70">
        <v>0</v>
      </c>
      <c r="J460" s="71">
        <v>0</v>
      </c>
      <c r="K460" s="70">
        <v>0</v>
      </c>
      <c r="L460" s="71">
        <v>0</v>
      </c>
      <c r="M460" s="71">
        <v>0</v>
      </c>
    </row>
    <row r="461" spans="1:13" ht="27.95" customHeight="1" x14ac:dyDescent="0.3">
      <c r="A461" s="556"/>
      <c r="B461" s="559"/>
      <c r="C461" s="60" t="s">
        <v>94</v>
      </c>
      <c r="D461" s="52">
        <v>755</v>
      </c>
      <c r="E461" s="71">
        <f>'Приложение 5'!H191</f>
        <v>0</v>
      </c>
      <c r="F461" s="71">
        <f>'Приложение 5'!I191</f>
        <v>0</v>
      </c>
      <c r="G461" s="71">
        <f>'Приложение 5'!J191</f>
        <v>0</v>
      </c>
      <c r="H461" s="71">
        <f>'Приложение 5'!K191</f>
        <v>0</v>
      </c>
      <c r="I461" s="70">
        <f>'Приложение 5'!L191</f>
        <v>0</v>
      </c>
      <c r="J461" s="71">
        <f>'Приложение 5'!M191</f>
        <v>0</v>
      </c>
      <c r="K461" s="70">
        <f>'Приложение 5'!N191</f>
        <v>0</v>
      </c>
      <c r="L461" s="71">
        <f>'Приложение 5'!O191</f>
        <v>0</v>
      </c>
      <c r="M461" s="71">
        <f>'Приложение 5'!P191</f>
        <v>0</v>
      </c>
    </row>
    <row r="462" spans="1:13" ht="57" customHeight="1" x14ac:dyDescent="0.3">
      <c r="A462" s="556"/>
      <c r="B462" s="559"/>
      <c r="C462" s="59" t="s">
        <v>95</v>
      </c>
      <c r="D462" s="52"/>
      <c r="E462" s="71">
        <v>0</v>
      </c>
      <c r="F462" s="71">
        <v>0</v>
      </c>
      <c r="G462" s="71">
        <v>0</v>
      </c>
      <c r="H462" s="71">
        <v>0</v>
      </c>
      <c r="I462" s="70">
        <v>0</v>
      </c>
      <c r="J462" s="70">
        <v>0</v>
      </c>
      <c r="K462" s="70">
        <v>0</v>
      </c>
      <c r="L462" s="70">
        <v>0</v>
      </c>
      <c r="M462" s="71">
        <v>0</v>
      </c>
    </row>
    <row r="463" spans="1:13" ht="83.1" customHeight="1" x14ac:dyDescent="0.3">
      <c r="A463" s="556"/>
      <c r="B463" s="559"/>
      <c r="C463" s="60" t="s">
        <v>96</v>
      </c>
      <c r="D463" s="52"/>
      <c r="E463" s="71">
        <v>0</v>
      </c>
      <c r="F463" s="71">
        <v>0</v>
      </c>
      <c r="G463" s="71">
        <v>0</v>
      </c>
      <c r="H463" s="71">
        <v>0</v>
      </c>
      <c r="I463" s="70">
        <v>0</v>
      </c>
      <c r="J463" s="70">
        <v>0</v>
      </c>
      <c r="K463" s="70">
        <v>0</v>
      </c>
      <c r="L463" s="70">
        <v>0</v>
      </c>
      <c r="M463" s="71">
        <v>0</v>
      </c>
    </row>
    <row r="464" spans="1:13" ht="83.1" customHeight="1" x14ac:dyDescent="0.3">
      <c r="A464" s="556"/>
      <c r="B464" s="559"/>
      <c r="C464" s="59" t="s">
        <v>97</v>
      </c>
      <c r="D464" s="69"/>
      <c r="E464" s="71">
        <v>0</v>
      </c>
      <c r="F464" s="71">
        <v>0</v>
      </c>
      <c r="G464" s="71">
        <v>0</v>
      </c>
      <c r="H464" s="71">
        <v>0</v>
      </c>
      <c r="I464" s="71">
        <v>0</v>
      </c>
      <c r="J464" s="71">
        <v>0</v>
      </c>
      <c r="K464" s="71">
        <v>0</v>
      </c>
      <c r="L464" s="71">
        <v>0</v>
      </c>
      <c r="M464" s="71">
        <v>0</v>
      </c>
    </row>
    <row r="465" spans="1:19" ht="57" customHeight="1" x14ac:dyDescent="0.3">
      <c r="A465" s="557"/>
      <c r="B465" s="560"/>
      <c r="C465" s="59" t="s">
        <v>98</v>
      </c>
      <c r="D465" s="52"/>
      <c r="E465" s="71">
        <v>0</v>
      </c>
      <c r="F465" s="71">
        <v>0</v>
      </c>
      <c r="G465" s="71">
        <v>0</v>
      </c>
      <c r="H465" s="71">
        <v>0</v>
      </c>
      <c r="I465" s="70">
        <v>0</v>
      </c>
      <c r="J465" s="70">
        <v>0</v>
      </c>
      <c r="K465" s="70">
        <v>0</v>
      </c>
      <c r="L465" s="70">
        <v>0</v>
      </c>
      <c r="M465" s="71">
        <v>0</v>
      </c>
    </row>
    <row r="466" spans="1:19" ht="27.95" customHeight="1" x14ac:dyDescent="0.3">
      <c r="A466" s="561" t="s">
        <v>134</v>
      </c>
      <c r="B466" s="558" t="s">
        <v>381</v>
      </c>
      <c r="C466" s="54" t="s">
        <v>159</v>
      </c>
      <c r="D466" s="64">
        <v>755</v>
      </c>
      <c r="E466" s="85">
        <f t="shared" ref="E466:G466" si="84">E468</f>
        <v>0</v>
      </c>
      <c r="F466" s="85">
        <f t="shared" si="84"/>
        <v>0</v>
      </c>
      <c r="G466" s="85">
        <f t="shared" si="84"/>
        <v>0</v>
      </c>
      <c r="H466" s="85">
        <f t="shared" ref="H466:L466" si="85">H468</f>
        <v>0</v>
      </c>
      <c r="I466" s="72">
        <f t="shared" si="85"/>
        <v>0</v>
      </c>
      <c r="J466" s="72">
        <f t="shared" si="85"/>
        <v>0</v>
      </c>
      <c r="K466" s="72">
        <f t="shared" si="85"/>
        <v>0</v>
      </c>
      <c r="L466" s="72">
        <f t="shared" si="85"/>
        <v>0</v>
      </c>
      <c r="M466" s="85">
        <f>SUM(H466:L466)</f>
        <v>0</v>
      </c>
    </row>
    <row r="467" spans="1:19" ht="40.5" customHeight="1" x14ac:dyDescent="0.3">
      <c r="A467" s="556"/>
      <c r="B467" s="559"/>
      <c r="C467" s="60" t="s">
        <v>93</v>
      </c>
      <c r="D467" s="52"/>
      <c r="E467" s="71">
        <v>0</v>
      </c>
      <c r="F467" s="71">
        <v>0</v>
      </c>
      <c r="G467" s="71">
        <v>0</v>
      </c>
      <c r="H467" s="71">
        <v>0</v>
      </c>
      <c r="I467" s="71">
        <v>0</v>
      </c>
      <c r="J467" s="71">
        <v>0</v>
      </c>
      <c r="K467" s="71">
        <v>0</v>
      </c>
      <c r="L467" s="71">
        <v>0</v>
      </c>
      <c r="M467" s="71">
        <v>0</v>
      </c>
    </row>
    <row r="468" spans="1:19" ht="27.95" customHeight="1" x14ac:dyDescent="0.3">
      <c r="A468" s="556"/>
      <c r="B468" s="559"/>
      <c r="C468" s="60" t="s">
        <v>94</v>
      </c>
      <c r="D468" s="52">
        <v>755</v>
      </c>
      <c r="E468" s="71">
        <v>0</v>
      </c>
      <c r="F468" s="71">
        <v>0</v>
      </c>
      <c r="G468" s="71">
        <v>0</v>
      </c>
      <c r="H468" s="71">
        <f>'Приложение 5'!K192</f>
        <v>0</v>
      </c>
      <c r="I468" s="71">
        <f>'Приложение 5'!L192</f>
        <v>0</v>
      </c>
      <c r="J468" s="71">
        <f>'Приложение 5'!M192</f>
        <v>0</v>
      </c>
      <c r="K468" s="71">
        <f>'Приложение 5'!N192</f>
        <v>0</v>
      </c>
      <c r="L468" s="71">
        <f>'Приложение 5'!O192</f>
        <v>0</v>
      </c>
      <c r="M468" s="71">
        <f>SUM(E468:L468)</f>
        <v>0</v>
      </c>
    </row>
    <row r="469" spans="1:19" ht="57" customHeight="1" x14ac:dyDescent="0.3">
      <c r="A469" s="556"/>
      <c r="B469" s="559"/>
      <c r="C469" s="59" t="s">
        <v>95</v>
      </c>
      <c r="D469" s="52"/>
      <c r="E469" s="71">
        <v>0</v>
      </c>
      <c r="F469" s="71">
        <v>0</v>
      </c>
      <c r="G469" s="71">
        <v>0</v>
      </c>
      <c r="H469" s="71">
        <v>0</v>
      </c>
      <c r="I469" s="71">
        <v>0</v>
      </c>
      <c r="J469" s="71">
        <v>0</v>
      </c>
      <c r="K469" s="71">
        <v>0</v>
      </c>
      <c r="L469" s="71">
        <v>0</v>
      </c>
      <c r="M469" s="71">
        <v>0</v>
      </c>
    </row>
    <row r="470" spans="1:19" ht="83.1" customHeight="1" x14ac:dyDescent="0.3">
      <c r="A470" s="556"/>
      <c r="B470" s="559"/>
      <c r="C470" s="60" t="s">
        <v>96</v>
      </c>
      <c r="D470" s="52"/>
      <c r="E470" s="71">
        <v>0</v>
      </c>
      <c r="F470" s="71">
        <v>0</v>
      </c>
      <c r="G470" s="71">
        <v>0</v>
      </c>
      <c r="H470" s="71">
        <v>0</v>
      </c>
      <c r="I470" s="71">
        <v>0</v>
      </c>
      <c r="J470" s="71">
        <v>0</v>
      </c>
      <c r="K470" s="71">
        <v>0</v>
      </c>
      <c r="L470" s="71">
        <v>0</v>
      </c>
      <c r="M470" s="71">
        <v>0</v>
      </c>
    </row>
    <row r="471" spans="1:19" ht="83.1" customHeight="1" x14ac:dyDescent="0.3">
      <c r="A471" s="556"/>
      <c r="B471" s="559"/>
      <c r="C471" s="60" t="s">
        <v>97</v>
      </c>
      <c r="D471" s="52"/>
      <c r="E471" s="71">
        <v>0</v>
      </c>
      <c r="F471" s="71">
        <v>0</v>
      </c>
      <c r="G471" s="71">
        <v>0</v>
      </c>
      <c r="H471" s="71">
        <v>0</v>
      </c>
      <c r="I471" s="71">
        <v>0</v>
      </c>
      <c r="J471" s="71">
        <v>0</v>
      </c>
      <c r="K471" s="71">
        <v>0</v>
      </c>
      <c r="L471" s="71">
        <v>0</v>
      </c>
      <c r="M471" s="71">
        <v>0</v>
      </c>
    </row>
    <row r="472" spans="1:19" ht="57" customHeight="1" x14ac:dyDescent="0.3">
      <c r="A472" s="557"/>
      <c r="B472" s="560"/>
      <c r="C472" s="59" t="s">
        <v>98</v>
      </c>
      <c r="D472" s="52"/>
      <c r="E472" s="71">
        <v>0</v>
      </c>
      <c r="F472" s="71">
        <v>0</v>
      </c>
      <c r="G472" s="71">
        <v>0</v>
      </c>
      <c r="H472" s="71">
        <v>0</v>
      </c>
      <c r="I472" s="71">
        <v>0</v>
      </c>
      <c r="J472" s="71">
        <v>0</v>
      </c>
      <c r="K472" s="71">
        <v>0</v>
      </c>
      <c r="L472" s="71">
        <v>0</v>
      </c>
      <c r="M472" s="71">
        <v>0</v>
      </c>
    </row>
    <row r="473" spans="1:19" ht="27.95" customHeight="1" x14ac:dyDescent="0.3">
      <c r="A473" s="561" t="s">
        <v>226</v>
      </c>
      <c r="B473" s="571" t="s">
        <v>225</v>
      </c>
      <c r="C473" s="54" t="s">
        <v>159</v>
      </c>
      <c r="D473" s="64">
        <v>755</v>
      </c>
      <c r="E473" s="85">
        <f t="shared" ref="E473:G473" si="86">SUM(E474:E479)</f>
        <v>0</v>
      </c>
      <c r="F473" s="85">
        <f t="shared" si="86"/>
        <v>0</v>
      </c>
      <c r="G473" s="85">
        <f t="shared" si="86"/>
        <v>0</v>
      </c>
      <c r="H473" s="85">
        <f>SUM(H474:H479)</f>
        <v>0</v>
      </c>
      <c r="I473" s="72">
        <f>SUM(I474:I479)</f>
        <v>0</v>
      </c>
      <c r="J473" s="85">
        <f>SUM(J474:J479)</f>
        <v>0</v>
      </c>
      <c r="K473" s="72">
        <f>SUM(K474:K479)</f>
        <v>0</v>
      </c>
      <c r="L473" s="85">
        <f>SUM(L474:L479)</f>
        <v>0</v>
      </c>
      <c r="M473" s="85">
        <f>SUM(H473:L473)</f>
        <v>0</v>
      </c>
    </row>
    <row r="474" spans="1:19" ht="42" customHeight="1" x14ac:dyDescent="0.3">
      <c r="A474" s="556"/>
      <c r="B474" s="572"/>
      <c r="C474" s="60" t="s">
        <v>93</v>
      </c>
      <c r="D474" s="52"/>
      <c r="E474" s="71">
        <v>0</v>
      </c>
      <c r="F474" s="71">
        <v>0</v>
      </c>
      <c r="G474" s="71">
        <v>0</v>
      </c>
      <c r="H474" s="71">
        <v>0</v>
      </c>
      <c r="I474" s="70">
        <v>0</v>
      </c>
      <c r="J474" s="71">
        <v>0</v>
      </c>
      <c r="K474" s="70">
        <v>0</v>
      </c>
      <c r="L474" s="71">
        <v>0</v>
      </c>
      <c r="M474" s="71">
        <v>0</v>
      </c>
    </row>
    <row r="475" spans="1:19" ht="27.95" customHeight="1" x14ac:dyDescent="0.3">
      <c r="A475" s="556"/>
      <c r="B475" s="572"/>
      <c r="C475" s="60" t="s">
        <v>94</v>
      </c>
      <c r="D475" s="52">
        <v>755</v>
      </c>
      <c r="E475" s="71">
        <f>'Приложение 5'!H194</f>
        <v>0</v>
      </c>
      <c r="F475" s="71">
        <f>'Приложение 5'!I194</f>
        <v>0</v>
      </c>
      <c r="G475" s="71">
        <f>'Приложение 5'!J194</f>
        <v>0</v>
      </c>
      <c r="H475" s="71">
        <f>'Приложение 5'!K194</f>
        <v>0</v>
      </c>
      <c r="I475" s="70">
        <f>'Приложение 5'!L194</f>
        <v>0</v>
      </c>
      <c r="J475" s="71">
        <f>'Приложение 5'!M194</f>
        <v>0</v>
      </c>
      <c r="K475" s="70">
        <f>'Приложение 5'!N194</f>
        <v>0</v>
      </c>
      <c r="L475" s="71">
        <f>'Приложение 5'!O194</f>
        <v>0</v>
      </c>
      <c r="M475" s="71">
        <f>'Приложение 5'!P194</f>
        <v>0</v>
      </c>
    </row>
    <row r="476" spans="1:19" ht="60" customHeight="1" x14ac:dyDescent="0.3">
      <c r="A476" s="556"/>
      <c r="B476" s="572"/>
      <c r="C476" s="59" t="s">
        <v>95</v>
      </c>
      <c r="D476" s="52"/>
      <c r="E476" s="71">
        <v>0</v>
      </c>
      <c r="F476" s="71">
        <v>0</v>
      </c>
      <c r="G476" s="71">
        <v>0</v>
      </c>
      <c r="H476" s="71">
        <v>0</v>
      </c>
      <c r="I476" s="70">
        <v>0</v>
      </c>
      <c r="J476" s="70">
        <v>0</v>
      </c>
      <c r="K476" s="70">
        <v>0</v>
      </c>
      <c r="L476" s="70">
        <v>0</v>
      </c>
      <c r="M476" s="71">
        <v>0</v>
      </c>
    </row>
    <row r="477" spans="1:19" ht="83.1" customHeight="1" x14ac:dyDescent="0.3">
      <c r="A477" s="556"/>
      <c r="B477" s="572"/>
      <c r="C477" s="60" t="s">
        <v>96</v>
      </c>
      <c r="D477" s="52"/>
      <c r="E477" s="71">
        <v>0</v>
      </c>
      <c r="F477" s="71">
        <v>0</v>
      </c>
      <c r="G477" s="71">
        <v>0</v>
      </c>
      <c r="H477" s="71">
        <v>0</v>
      </c>
      <c r="I477" s="70">
        <v>0</v>
      </c>
      <c r="J477" s="70">
        <v>0</v>
      </c>
      <c r="K477" s="70">
        <v>0</v>
      </c>
      <c r="L477" s="70">
        <v>0</v>
      </c>
      <c r="M477" s="71">
        <v>0</v>
      </c>
    </row>
    <row r="478" spans="1:19" ht="83.1" customHeight="1" x14ac:dyDescent="0.3">
      <c r="A478" s="556"/>
      <c r="B478" s="572"/>
      <c r="C478" s="60" t="s">
        <v>97</v>
      </c>
      <c r="D478" s="52"/>
      <c r="E478" s="71">
        <v>0</v>
      </c>
      <c r="F478" s="71">
        <v>0</v>
      </c>
      <c r="G478" s="71">
        <v>0</v>
      </c>
      <c r="H478" s="71">
        <v>0</v>
      </c>
      <c r="I478" s="70">
        <v>0</v>
      </c>
      <c r="J478" s="70">
        <v>0</v>
      </c>
      <c r="K478" s="70">
        <v>0</v>
      </c>
      <c r="L478" s="70">
        <v>0</v>
      </c>
      <c r="M478" s="71">
        <v>0</v>
      </c>
    </row>
    <row r="479" spans="1:19" ht="54.75" customHeight="1" x14ac:dyDescent="0.3">
      <c r="A479" s="557"/>
      <c r="B479" s="573"/>
      <c r="C479" s="59" t="s">
        <v>98</v>
      </c>
      <c r="D479" s="52"/>
      <c r="E479" s="71">
        <v>0</v>
      </c>
      <c r="F479" s="71">
        <v>0</v>
      </c>
      <c r="G479" s="71">
        <v>0</v>
      </c>
      <c r="H479" s="71">
        <v>0</v>
      </c>
      <c r="I479" s="70">
        <v>0</v>
      </c>
      <c r="J479" s="70">
        <v>0</v>
      </c>
      <c r="K479" s="70">
        <v>0</v>
      </c>
      <c r="L479" s="70">
        <v>0</v>
      </c>
      <c r="M479" s="71">
        <v>0</v>
      </c>
    </row>
    <row r="480" spans="1:19" s="6" customFormat="1" ht="27.95" customHeight="1" x14ac:dyDescent="0.25">
      <c r="A480" s="588" t="s">
        <v>162</v>
      </c>
      <c r="B480" s="603" t="s">
        <v>262</v>
      </c>
      <c r="C480" s="58" t="s">
        <v>27</v>
      </c>
      <c r="D480" s="61">
        <v>771</v>
      </c>
      <c r="E480" s="98">
        <f>SUM(E481:E486)</f>
        <v>421111</v>
      </c>
      <c r="F480" s="98">
        <f t="shared" ref="F480:L480" si="87">SUM(F481:F486)</f>
        <v>453719.43</v>
      </c>
      <c r="G480" s="98">
        <f t="shared" si="87"/>
        <v>303569.08</v>
      </c>
      <c r="H480" s="98">
        <f t="shared" si="87"/>
        <v>310948.75</v>
      </c>
      <c r="I480" s="98">
        <f t="shared" si="87"/>
        <v>342357.32</v>
      </c>
      <c r="J480" s="98">
        <f t="shared" si="87"/>
        <v>342357.32</v>
      </c>
      <c r="K480" s="98">
        <f t="shared" si="87"/>
        <v>342357.32</v>
      </c>
      <c r="L480" s="98">
        <f t="shared" si="87"/>
        <v>342357.32</v>
      </c>
      <c r="M480" s="85">
        <f>SUM(E480:L480)</f>
        <v>2858777.54</v>
      </c>
      <c r="N480" s="5"/>
      <c r="O480" s="2"/>
      <c r="P480" s="2"/>
      <c r="Q480" s="2"/>
      <c r="R480" s="2"/>
      <c r="S480" s="2"/>
    </row>
    <row r="481" spans="1:19" s="6" customFormat="1" ht="42" customHeight="1" x14ac:dyDescent="0.25">
      <c r="A481" s="589"/>
      <c r="B481" s="604"/>
      <c r="C481" s="67" t="s">
        <v>93</v>
      </c>
      <c r="D481" s="61"/>
      <c r="E481" s="79">
        <v>0</v>
      </c>
      <c r="F481" s="79">
        <v>0</v>
      </c>
      <c r="G481" s="79">
        <v>0</v>
      </c>
      <c r="H481" s="79">
        <v>0</v>
      </c>
      <c r="I481" s="79">
        <v>0</v>
      </c>
      <c r="J481" s="79">
        <v>0</v>
      </c>
      <c r="K481" s="79">
        <v>0</v>
      </c>
      <c r="L481" s="79">
        <v>0</v>
      </c>
      <c r="M481" s="79">
        <v>0</v>
      </c>
      <c r="N481" s="5"/>
      <c r="O481" s="2"/>
      <c r="P481" s="2"/>
      <c r="Q481" s="2"/>
      <c r="R481" s="2"/>
      <c r="S481" s="2"/>
    </row>
    <row r="482" spans="1:19" s="6" customFormat="1" ht="27.95" customHeight="1" x14ac:dyDescent="0.25">
      <c r="A482" s="589"/>
      <c r="B482" s="604"/>
      <c r="C482" s="67" t="s">
        <v>94</v>
      </c>
      <c r="D482" s="61">
        <v>771</v>
      </c>
      <c r="E482" s="99">
        <f>'Приложение 5'!H195</f>
        <v>421111</v>
      </c>
      <c r="F482" s="99">
        <f>'Приложение 5'!I195</f>
        <v>453719.43</v>
      </c>
      <c r="G482" s="99">
        <f>'Приложение 5'!J195</f>
        <v>303569.08</v>
      </c>
      <c r="H482" s="99">
        <f>'Приложение 5'!K195</f>
        <v>310948.75</v>
      </c>
      <c r="I482" s="99">
        <f>'Приложение 5'!L195</f>
        <v>342357.32</v>
      </c>
      <c r="J482" s="99">
        <f>'Приложение 5'!M195</f>
        <v>342357.32</v>
      </c>
      <c r="K482" s="99">
        <f>'Приложение 5'!N195</f>
        <v>342357.32</v>
      </c>
      <c r="L482" s="99">
        <f>'Приложение 5'!O195</f>
        <v>342357.32</v>
      </c>
      <c r="M482" s="99">
        <f>'Приложение 5'!P195</f>
        <v>2858777.54</v>
      </c>
      <c r="N482" s="5"/>
      <c r="O482" s="2"/>
      <c r="P482" s="2"/>
      <c r="Q482" s="2"/>
      <c r="R482" s="2"/>
      <c r="S482" s="2"/>
    </row>
    <row r="483" spans="1:19" s="6" customFormat="1" ht="61.5" customHeight="1" x14ac:dyDescent="0.25">
      <c r="A483" s="589"/>
      <c r="B483" s="604"/>
      <c r="C483" s="67" t="s">
        <v>95</v>
      </c>
      <c r="D483" s="61"/>
      <c r="E483" s="79">
        <v>0</v>
      </c>
      <c r="F483" s="79">
        <v>0</v>
      </c>
      <c r="G483" s="79">
        <v>0</v>
      </c>
      <c r="H483" s="79">
        <v>0</v>
      </c>
      <c r="I483" s="79">
        <v>0</v>
      </c>
      <c r="J483" s="79">
        <v>0</v>
      </c>
      <c r="K483" s="79">
        <v>0</v>
      </c>
      <c r="L483" s="79">
        <v>0</v>
      </c>
      <c r="M483" s="79">
        <v>0</v>
      </c>
      <c r="N483" s="5"/>
      <c r="O483" s="2"/>
      <c r="P483" s="2"/>
      <c r="Q483" s="2"/>
      <c r="R483" s="2"/>
      <c r="S483" s="2"/>
    </row>
    <row r="484" spans="1:19" s="6" customFormat="1" ht="87.75" customHeight="1" x14ac:dyDescent="0.25">
      <c r="A484" s="589"/>
      <c r="B484" s="604"/>
      <c r="C484" s="67" t="s">
        <v>96</v>
      </c>
      <c r="D484" s="61"/>
      <c r="E484" s="79">
        <v>0</v>
      </c>
      <c r="F484" s="79">
        <v>0</v>
      </c>
      <c r="G484" s="79">
        <v>0</v>
      </c>
      <c r="H484" s="79">
        <v>0</v>
      </c>
      <c r="I484" s="79">
        <v>0</v>
      </c>
      <c r="J484" s="79">
        <v>0</v>
      </c>
      <c r="K484" s="79">
        <v>0</v>
      </c>
      <c r="L484" s="79">
        <v>0</v>
      </c>
      <c r="M484" s="79">
        <v>0</v>
      </c>
      <c r="N484" s="5"/>
      <c r="O484" s="2"/>
      <c r="P484" s="2"/>
      <c r="Q484" s="2"/>
      <c r="R484" s="2"/>
      <c r="S484" s="2"/>
    </row>
    <row r="485" spans="1:19" s="6" customFormat="1" ht="87.75" customHeight="1" x14ac:dyDescent="0.25">
      <c r="A485" s="589"/>
      <c r="B485" s="604"/>
      <c r="C485" s="67" t="s">
        <v>97</v>
      </c>
      <c r="D485" s="61"/>
      <c r="E485" s="79">
        <v>0</v>
      </c>
      <c r="F485" s="79">
        <v>0</v>
      </c>
      <c r="G485" s="79">
        <v>0</v>
      </c>
      <c r="H485" s="79">
        <v>0</v>
      </c>
      <c r="I485" s="79">
        <v>0</v>
      </c>
      <c r="J485" s="79">
        <v>0</v>
      </c>
      <c r="K485" s="79">
        <v>0</v>
      </c>
      <c r="L485" s="79">
        <v>0</v>
      </c>
      <c r="M485" s="79">
        <v>0</v>
      </c>
      <c r="N485" s="5"/>
      <c r="O485" s="2"/>
      <c r="P485" s="2"/>
      <c r="Q485" s="2"/>
      <c r="R485" s="2"/>
      <c r="S485" s="2"/>
    </row>
    <row r="486" spans="1:19" s="6" customFormat="1" ht="60" customHeight="1" x14ac:dyDescent="0.25">
      <c r="A486" s="590"/>
      <c r="B486" s="605"/>
      <c r="C486" s="67" t="s">
        <v>98</v>
      </c>
      <c r="D486" s="61"/>
      <c r="E486" s="79">
        <v>0</v>
      </c>
      <c r="F486" s="79">
        <v>0</v>
      </c>
      <c r="G486" s="79">
        <v>0</v>
      </c>
      <c r="H486" s="79">
        <v>0</v>
      </c>
      <c r="I486" s="79">
        <v>0</v>
      </c>
      <c r="J486" s="79">
        <v>0</v>
      </c>
      <c r="K486" s="79">
        <v>0</v>
      </c>
      <c r="L486" s="79">
        <v>0</v>
      </c>
      <c r="M486" s="79">
        <v>0</v>
      </c>
      <c r="N486" s="5"/>
      <c r="O486" s="2"/>
      <c r="P486" s="2"/>
      <c r="Q486" s="2"/>
      <c r="R486" s="2"/>
      <c r="S486" s="2"/>
    </row>
    <row r="487" spans="1:19" s="7" customFormat="1" ht="27.95" customHeight="1" x14ac:dyDescent="0.2">
      <c r="A487" s="561" t="s">
        <v>163</v>
      </c>
      <c r="B487" s="606" t="s">
        <v>329</v>
      </c>
      <c r="C487" s="58" t="s">
        <v>27</v>
      </c>
      <c r="D487" s="46">
        <v>771</v>
      </c>
      <c r="E487" s="98">
        <f>SUM(E488:E493)</f>
        <v>22117.4</v>
      </c>
      <c r="F487" s="98">
        <f t="shared" ref="F487:L487" si="88">SUM(F488:F493)</f>
        <v>22707.35</v>
      </c>
      <c r="G487" s="98">
        <f t="shared" si="88"/>
        <v>28518.86</v>
      </c>
      <c r="H487" s="98">
        <f t="shared" si="88"/>
        <v>29034.11</v>
      </c>
      <c r="I487" s="98">
        <f t="shared" si="88"/>
        <v>27631.16</v>
      </c>
      <c r="J487" s="98">
        <f t="shared" si="88"/>
        <v>27631.16</v>
      </c>
      <c r="K487" s="98">
        <f t="shared" si="88"/>
        <v>27631.16</v>
      </c>
      <c r="L487" s="98">
        <f t="shared" si="88"/>
        <v>27631.16</v>
      </c>
      <c r="M487" s="98">
        <f>SUM(E487:L487)</f>
        <v>212902.36</v>
      </c>
      <c r="N487" s="5"/>
      <c r="O487" s="2"/>
      <c r="P487" s="2"/>
      <c r="Q487" s="2"/>
      <c r="R487" s="2"/>
      <c r="S487" s="2"/>
    </row>
    <row r="488" spans="1:19" s="7" customFormat="1" ht="45" customHeight="1" x14ac:dyDescent="0.2">
      <c r="A488" s="556"/>
      <c r="B488" s="607"/>
      <c r="C488" s="67" t="s">
        <v>93</v>
      </c>
      <c r="D488" s="46"/>
      <c r="E488" s="79">
        <v>0</v>
      </c>
      <c r="F488" s="79">
        <v>0</v>
      </c>
      <c r="G488" s="79">
        <v>0</v>
      </c>
      <c r="H488" s="79">
        <v>0</v>
      </c>
      <c r="I488" s="79">
        <v>0</v>
      </c>
      <c r="J488" s="79">
        <v>0</v>
      </c>
      <c r="K488" s="79">
        <v>0</v>
      </c>
      <c r="L488" s="79">
        <v>0</v>
      </c>
      <c r="M488" s="79">
        <v>0</v>
      </c>
      <c r="N488" s="5"/>
      <c r="O488" s="2"/>
      <c r="P488" s="2"/>
      <c r="Q488" s="2"/>
      <c r="R488" s="2"/>
      <c r="S488" s="2"/>
    </row>
    <row r="489" spans="1:19" s="7" customFormat="1" ht="30.75" customHeight="1" x14ac:dyDescent="0.2">
      <c r="A489" s="556"/>
      <c r="B489" s="607"/>
      <c r="C489" s="67" t="s">
        <v>94</v>
      </c>
      <c r="D489" s="46">
        <v>771</v>
      </c>
      <c r="E489" s="79">
        <f>'Приложение 5'!H199</f>
        <v>22117.4</v>
      </c>
      <c r="F489" s="79">
        <f>'Приложение 5'!I199</f>
        <v>22707.35</v>
      </c>
      <c r="G489" s="79">
        <f>'Приложение 5'!J199</f>
        <v>28518.86</v>
      </c>
      <c r="H489" s="79">
        <f>'Приложение 5'!K198</f>
        <v>29034.11</v>
      </c>
      <c r="I489" s="79">
        <f>'Приложение 5'!L198</f>
        <v>27631.16</v>
      </c>
      <c r="J489" s="79">
        <f>'Приложение 5'!M198</f>
        <v>27631.16</v>
      </c>
      <c r="K489" s="79">
        <f>'Приложение 5'!N198</f>
        <v>27631.16</v>
      </c>
      <c r="L489" s="79">
        <f>'Приложение 5'!O198</f>
        <v>27631.16</v>
      </c>
      <c r="M489" s="79">
        <f>'Приложение 5'!P198</f>
        <v>212902.36</v>
      </c>
      <c r="N489" s="5"/>
      <c r="O489" s="2"/>
      <c r="P489" s="2"/>
      <c r="Q489" s="2"/>
      <c r="R489" s="2"/>
      <c r="S489" s="2"/>
    </row>
    <row r="490" spans="1:19" s="7" customFormat="1" ht="57" customHeight="1" x14ac:dyDescent="0.2">
      <c r="A490" s="556"/>
      <c r="B490" s="607"/>
      <c r="C490" s="67" t="s">
        <v>95</v>
      </c>
      <c r="D490" s="46"/>
      <c r="E490" s="79">
        <v>0</v>
      </c>
      <c r="F490" s="79">
        <v>0</v>
      </c>
      <c r="G490" s="79">
        <v>0</v>
      </c>
      <c r="H490" s="79">
        <v>0</v>
      </c>
      <c r="I490" s="79">
        <v>0</v>
      </c>
      <c r="J490" s="79">
        <v>0</v>
      </c>
      <c r="K490" s="79">
        <v>0</v>
      </c>
      <c r="L490" s="79">
        <v>0</v>
      </c>
      <c r="M490" s="79">
        <v>0</v>
      </c>
      <c r="N490" s="5"/>
      <c r="O490" s="2"/>
      <c r="P490" s="2"/>
      <c r="Q490" s="2"/>
      <c r="R490" s="2"/>
      <c r="S490" s="2"/>
    </row>
    <row r="491" spans="1:19" s="7" customFormat="1" ht="83.1" customHeight="1" x14ac:dyDescent="0.2">
      <c r="A491" s="556"/>
      <c r="B491" s="607"/>
      <c r="C491" s="67" t="s">
        <v>96</v>
      </c>
      <c r="D491" s="46"/>
      <c r="E491" s="79">
        <v>0</v>
      </c>
      <c r="F491" s="79">
        <v>0</v>
      </c>
      <c r="G491" s="79">
        <v>0</v>
      </c>
      <c r="H491" s="79">
        <v>0</v>
      </c>
      <c r="I491" s="79">
        <v>0</v>
      </c>
      <c r="J491" s="79">
        <v>0</v>
      </c>
      <c r="K491" s="79">
        <v>0</v>
      </c>
      <c r="L491" s="79">
        <v>0</v>
      </c>
      <c r="M491" s="79">
        <v>0</v>
      </c>
      <c r="N491" s="5"/>
      <c r="O491" s="2"/>
      <c r="P491" s="2"/>
      <c r="Q491" s="2"/>
      <c r="R491" s="2"/>
      <c r="S491" s="2"/>
    </row>
    <row r="492" spans="1:19" s="7" customFormat="1" ht="83.1" customHeight="1" x14ac:dyDescent="0.2">
      <c r="A492" s="556"/>
      <c r="B492" s="607"/>
      <c r="C492" s="67" t="s">
        <v>97</v>
      </c>
      <c r="D492" s="46"/>
      <c r="E492" s="79">
        <v>0</v>
      </c>
      <c r="F492" s="79">
        <v>0</v>
      </c>
      <c r="G492" s="79">
        <v>0</v>
      </c>
      <c r="H492" s="79">
        <v>0</v>
      </c>
      <c r="I492" s="79">
        <v>0</v>
      </c>
      <c r="J492" s="79">
        <v>0</v>
      </c>
      <c r="K492" s="79">
        <v>0</v>
      </c>
      <c r="L492" s="79">
        <v>0</v>
      </c>
      <c r="M492" s="79">
        <v>0</v>
      </c>
      <c r="N492" s="5"/>
      <c r="O492" s="2"/>
      <c r="P492" s="2"/>
      <c r="Q492" s="2"/>
      <c r="R492" s="2"/>
      <c r="S492" s="2"/>
    </row>
    <row r="493" spans="1:19" s="7" customFormat="1" ht="57" customHeight="1" x14ac:dyDescent="0.2">
      <c r="A493" s="557"/>
      <c r="B493" s="608"/>
      <c r="C493" s="67" t="s">
        <v>98</v>
      </c>
      <c r="D493" s="46"/>
      <c r="E493" s="99">
        <v>0</v>
      </c>
      <c r="F493" s="99">
        <v>0</v>
      </c>
      <c r="G493" s="99">
        <v>0</v>
      </c>
      <c r="H493" s="99">
        <v>0</v>
      </c>
      <c r="I493" s="99">
        <v>0</v>
      </c>
      <c r="J493" s="99">
        <v>0</v>
      </c>
      <c r="K493" s="99">
        <v>0</v>
      </c>
      <c r="L493" s="99">
        <v>0</v>
      </c>
      <c r="M493" s="99">
        <v>0</v>
      </c>
      <c r="N493" s="5"/>
      <c r="O493" s="2"/>
      <c r="P493" s="2"/>
      <c r="Q493" s="2"/>
      <c r="R493" s="2"/>
      <c r="S493" s="2"/>
    </row>
    <row r="494" spans="1:19" s="6" customFormat="1" ht="27.95" customHeight="1" x14ac:dyDescent="0.25">
      <c r="A494" s="561" t="s">
        <v>227</v>
      </c>
      <c r="B494" s="591" t="s">
        <v>75</v>
      </c>
      <c r="C494" s="58" t="s">
        <v>27</v>
      </c>
      <c r="D494" s="46">
        <v>771</v>
      </c>
      <c r="E494" s="98">
        <f>SUM(E495:E500)</f>
        <v>22117.4</v>
      </c>
      <c r="F494" s="98">
        <f t="shared" ref="F494:L494" si="89">SUM(F495:F500)</f>
        <v>22707.35</v>
      </c>
      <c r="G494" s="98">
        <f t="shared" si="89"/>
        <v>28518.86</v>
      </c>
      <c r="H494" s="98">
        <f t="shared" si="89"/>
        <v>29034.11</v>
      </c>
      <c r="I494" s="98">
        <f t="shared" si="89"/>
        <v>27631.16</v>
      </c>
      <c r="J494" s="98">
        <f t="shared" si="89"/>
        <v>27631.16</v>
      </c>
      <c r="K494" s="98">
        <f t="shared" si="89"/>
        <v>27631.16</v>
      </c>
      <c r="L494" s="98">
        <f t="shared" si="89"/>
        <v>27631.16</v>
      </c>
      <c r="M494" s="98">
        <f>SUM(E494:L494)</f>
        <v>212902.36</v>
      </c>
      <c r="N494" s="5"/>
      <c r="O494" s="2"/>
      <c r="P494" s="2"/>
      <c r="Q494" s="2"/>
      <c r="R494" s="2"/>
      <c r="S494" s="2"/>
    </row>
    <row r="495" spans="1:19" s="6" customFormat="1" ht="42" customHeight="1" x14ac:dyDescent="0.25">
      <c r="A495" s="556"/>
      <c r="B495" s="592"/>
      <c r="C495" s="67" t="s">
        <v>93</v>
      </c>
      <c r="D495" s="46"/>
      <c r="E495" s="79">
        <v>0</v>
      </c>
      <c r="F495" s="99">
        <v>0</v>
      </c>
      <c r="G495" s="99">
        <v>0</v>
      </c>
      <c r="H495" s="99">
        <v>0</v>
      </c>
      <c r="I495" s="99">
        <v>0</v>
      </c>
      <c r="J495" s="99">
        <v>0</v>
      </c>
      <c r="K495" s="99">
        <v>0</v>
      </c>
      <c r="L495" s="99">
        <v>0</v>
      </c>
      <c r="M495" s="99">
        <v>0</v>
      </c>
      <c r="N495" s="5"/>
      <c r="O495" s="2"/>
      <c r="P495" s="2"/>
      <c r="Q495" s="2"/>
      <c r="R495" s="2"/>
      <c r="S495" s="2"/>
    </row>
    <row r="496" spans="1:19" s="6" customFormat="1" ht="27.95" customHeight="1" x14ac:dyDescent="0.25">
      <c r="A496" s="556"/>
      <c r="B496" s="592"/>
      <c r="C496" s="67" t="s">
        <v>94</v>
      </c>
      <c r="D496" s="46">
        <v>771</v>
      </c>
      <c r="E496" s="99">
        <f>'Приложение 5'!H201</f>
        <v>22117.4</v>
      </c>
      <c r="F496" s="99">
        <f>'Приложение 5'!I202</f>
        <v>22707.35</v>
      </c>
      <c r="G496" s="99">
        <f>'Приложение 5'!J202</f>
        <v>28518.86</v>
      </c>
      <c r="H496" s="99">
        <f>'Приложение 5'!K203</f>
        <v>29034.11</v>
      </c>
      <c r="I496" s="99">
        <f>'Приложение 5'!L203</f>
        <v>27631.16</v>
      </c>
      <c r="J496" s="99">
        <f>'Приложение 5'!M203</f>
        <v>27631.16</v>
      </c>
      <c r="K496" s="99">
        <f>'Приложение 5'!N203</f>
        <v>27631.16</v>
      </c>
      <c r="L496" s="99">
        <f>'Приложение 5'!O203</f>
        <v>27631.16</v>
      </c>
      <c r="M496" s="99">
        <f>'Приложение 5'!P201</f>
        <v>212902.36</v>
      </c>
      <c r="N496" s="5"/>
      <c r="O496" s="2"/>
      <c r="P496" s="2"/>
      <c r="Q496" s="2"/>
      <c r="R496" s="2"/>
      <c r="S496" s="2"/>
    </row>
    <row r="497" spans="1:19" s="6" customFormat="1" ht="57" customHeight="1" x14ac:dyDescent="0.25">
      <c r="A497" s="556"/>
      <c r="B497" s="592"/>
      <c r="C497" s="67" t="s">
        <v>95</v>
      </c>
      <c r="D497" s="46"/>
      <c r="E497" s="100">
        <v>0</v>
      </c>
      <c r="F497" s="100">
        <v>0</v>
      </c>
      <c r="G497" s="100">
        <v>0</v>
      </c>
      <c r="H497" s="100">
        <v>0</v>
      </c>
      <c r="I497" s="100">
        <v>0</v>
      </c>
      <c r="J497" s="100">
        <v>0</v>
      </c>
      <c r="K497" s="100">
        <v>0</v>
      </c>
      <c r="L497" s="100">
        <v>0</v>
      </c>
      <c r="M497" s="100">
        <v>0</v>
      </c>
      <c r="N497" s="5"/>
      <c r="O497" s="2"/>
      <c r="P497" s="2"/>
      <c r="Q497" s="2"/>
      <c r="R497" s="2"/>
      <c r="S497" s="2"/>
    </row>
    <row r="498" spans="1:19" s="6" customFormat="1" ht="83.1" customHeight="1" x14ac:dyDescent="0.25">
      <c r="A498" s="556"/>
      <c r="B498" s="592"/>
      <c r="C498" s="67" t="s">
        <v>96</v>
      </c>
      <c r="D498" s="46"/>
      <c r="E498" s="99">
        <v>0</v>
      </c>
      <c r="F498" s="99">
        <v>0</v>
      </c>
      <c r="G498" s="99">
        <v>0</v>
      </c>
      <c r="H498" s="99">
        <v>0</v>
      </c>
      <c r="I498" s="99">
        <v>0</v>
      </c>
      <c r="J498" s="99">
        <v>0</v>
      </c>
      <c r="K498" s="99">
        <v>0</v>
      </c>
      <c r="L498" s="99">
        <v>0</v>
      </c>
      <c r="M498" s="99">
        <v>0</v>
      </c>
      <c r="N498" s="5"/>
      <c r="O498" s="2"/>
      <c r="P498" s="2"/>
      <c r="Q498" s="2"/>
      <c r="R498" s="2"/>
      <c r="S498" s="2"/>
    </row>
    <row r="499" spans="1:19" s="6" customFormat="1" ht="83.1" customHeight="1" x14ac:dyDescent="0.25">
      <c r="A499" s="556"/>
      <c r="B499" s="592"/>
      <c r="C499" s="67" t="s">
        <v>97</v>
      </c>
      <c r="D499" s="46"/>
      <c r="E499" s="100">
        <v>0</v>
      </c>
      <c r="F499" s="100">
        <v>0</v>
      </c>
      <c r="G499" s="100">
        <v>0</v>
      </c>
      <c r="H499" s="100">
        <v>0</v>
      </c>
      <c r="I499" s="100">
        <v>0</v>
      </c>
      <c r="J499" s="100">
        <v>0</v>
      </c>
      <c r="K499" s="100">
        <v>0</v>
      </c>
      <c r="L499" s="100">
        <v>0</v>
      </c>
      <c r="M499" s="100">
        <v>0</v>
      </c>
      <c r="N499" s="5"/>
      <c r="O499" s="2"/>
      <c r="P499" s="2"/>
      <c r="Q499" s="2"/>
      <c r="R499" s="2"/>
      <c r="S499" s="2"/>
    </row>
    <row r="500" spans="1:19" s="6" customFormat="1" ht="57" customHeight="1" x14ac:dyDescent="0.25">
      <c r="A500" s="557"/>
      <c r="B500" s="593"/>
      <c r="C500" s="67" t="s">
        <v>98</v>
      </c>
      <c r="D500" s="46"/>
      <c r="E500" s="100">
        <v>0</v>
      </c>
      <c r="F500" s="100">
        <v>0</v>
      </c>
      <c r="G500" s="100">
        <v>0</v>
      </c>
      <c r="H500" s="100">
        <v>0</v>
      </c>
      <c r="I500" s="100">
        <v>0</v>
      </c>
      <c r="J500" s="100">
        <v>0</v>
      </c>
      <c r="K500" s="100">
        <v>0</v>
      </c>
      <c r="L500" s="100">
        <v>0</v>
      </c>
      <c r="M500" s="100">
        <v>0</v>
      </c>
      <c r="N500" s="5"/>
      <c r="O500" s="2"/>
      <c r="P500" s="2"/>
      <c r="Q500" s="2"/>
      <c r="R500" s="2"/>
      <c r="S500" s="2"/>
    </row>
    <row r="501" spans="1:19" s="7" customFormat="1" ht="27.95" customHeight="1" x14ac:dyDescent="0.2">
      <c r="A501" s="561" t="s">
        <v>164</v>
      </c>
      <c r="B501" s="606" t="s">
        <v>330</v>
      </c>
      <c r="C501" s="58" t="s">
        <v>27</v>
      </c>
      <c r="D501" s="46">
        <v>771</v>
      </c>
      <c r="E501" s="98">
        <f>SUM(E502:E507)</f>
        <v>97585</v>
      </c>
      <c r="F501" s="98">
        <f t="shared" ref="F501:L501" si="90">SUM(F502:F507)</f>
        <v>84110</v>
      </c>
      <c r="G501" s="98">
        <f t="shared" si="90"/>
        <v>48371.65</v>
      </c>
      <c r="H501" s="98">
        <f t="shared" si="90"/>
        <v>48735.89</v>
      </c>
      <c r="I501" s="98">
        <f t="shared" si="90"/>
        <v>48865.279999999999</v>
      </c>
      <c r="J501" s="98">
        <f t="shared" si="90"/>
        <v>48865.279999999999</v>
      </c>
      <c r="K501" s="98">
        <f t="shared" si="90"/>
        <v>48865.279999999999</v>
      </c>
      <c r="L501" s="98">
        <f t="shared" si="90"/>
        <v>48865.279999999999</v>
      </c>
      <c r="M501" s="98">
        <f>SUM(E501:L501)</f>
        <v>474263.66</v>
      </c>
      <c r="N501" s="5"/>
      <c r="O501" s="2"/>
      <c r="P501" s="2"/>
      <c r="Q501" s="2"/>
      <c r="R501" s="2"/>
      <c r="S501" s="2"/>
    </row>
    <row r="502" spans="1:19" s="7" customFormat="1" ht="42" customHeight="1" x14ac:dyDescent="0.2">
      <c r="A502" s="556"/>
      <c r="B502" s="607"/>
      <c r="C502" s="67" t="s">
        <v>93</v>
      </c>
      <c r="D502" s="46"/>
      <c r="E502" s="79">
        <v>0</v>
      </c>
      <c r="F502" s="79">
        <v>0</v>
      </c>
      <c r="G502" s="79">
        <v>0</v>
      </c>
      <c r="H502" s="79">
        <v>0</v>
      </c>
      <c r="I502" s="79">
        <v>0</v>
      </c>
      <c r="J502" s="79">
        <v>0</v>
      </c>
      <c r="K502" s="79">
        <v>0</v>
      </c>
      <c r="L502" s="79">
        <v>0</v>
      </c>
      <c r="M502" s="99">
        <v>0</v>
      </c>
      <c r="N502" s="5"/>
      <c r="O502" s="2"/>
      <c r="P502" s="2"/>
      <c r="Q502" s="2"/>
      <c r="R502" s="2"/>
      <c r="S502" s="2"/>
    </row>
    <row r="503" spans="1:19" s="7" customFormat="1" ht="27.95" customHeight="1" x14ac:dyDescent="0.2">
      <c r="A503" s="556"/>
      <c r="B503" s="607"/>
      <c r="C503" s="67" t="s">
        <v>94</v>
      </c>
      <c r="D503" s="46">
        <v>771</v>
      </c>
      <c r="E503" s="99">
        <f>'Приложение 5'!H205</f>
        <v>97585</v>
      </c>
      <c r="F503" s="99">
        <f>'Приложение 5'!I205</f>
        <v>84110</v>
      </c>
      <c r="G503" s="99">
        <f>'Приложение 5'!J205</f>
        <v>48371.65</v>
      </c>
      <c r="H503" s="99">
        <f>'Приложение 5'!K204</f>
        <v>48735.89</v>
      </c>
      <c r="I503" s="99">
        <f>'Приложение 5'!L204</f>
        <v>48865.279999999999</v>
      </c>
      <c r="J503" s="99">
        <f>'Приложение 5'!M204</f>
        <v>48865.279999999999</v>
      </c>
      <c r="K503" s="99">
        <f>'Приложение 5'!N204</f>
        <v>48865.279999999999</v>
      </c>
      <c r="L503" s="99">
        <f>'Приложение 5'!O204</f>
        <v>48865.279999999999</v>
      </c>
      <c r="M503" s="99">
        <f>'Приложение 5'!P204</f>
        <v>474263.66</v>
      </c>
      <c r="N503" s="5"/>
      <c r="O503" s="2"/>
      <c r="P503" s="2"/>
      <c r="Q503" s="2"/>
      <c r="R503" s="2"/>
      <c r="S503" s="2"/>
    </row>
    <row r="504" spans="1:19" s="7" customFormat="1" ht="57" customHeight="1" x14ac:dyDescent="0.2">
      <c r="A504" s="556"/>
      <c r="B504" s="607"/>
      <c r="C504" s="67" t="s">
        <v>95</v>
      </c>
      <c r="D504" s="46"/>
      <c r="E504" s="99">
        <v>0</v>
      </c>
      <c r="F504" s="99">
        <v>0</v>
      </c>
      <c r="G504" s="99">
        <v>0</v>
      </c>
      <c r="H504" s="99">
        <v>0</v>
      </c>
      <c r="I504" s="99">
        <v>0</v>
      </c>
      <c r="J504" s="99">
        <v>0</v>
      </c>
      <c r="K504" s="99">
        <v>0</v>
      </c>
      <c r="L504" s="99">
        <v>0</v>
      </c>
      <c r="M504" s="99">
        <v>0</v>
      </c>
      <c r="N504" s="5"/>
      <c r="O504" s="2"/>
      <c r="P504" s="2"/>
      <c r="Q504" s="2"/>
      <c r="R504" s="2"/>
      <c r="S504" s="2"/>
    </row>
    <row r="505" spans="1:19" s="7" customFormat="1" ht="83.1" customHeight="1" x14ac:dyDescent="0.2">
      <c r="A505" s="556"/>
      <c r="B505" s="607"/>
      <c r="C505" s="67" t="s">
        <v>96</v>
      </c>
      <c r="D505" s="46"/>
      <c r="E505" s="99">
        <v>0</v>
      </c>
      <c r="F505" s="99">
        <v>0</v>
      </c>
      <c r="G505" s="99">
        <v>0</v>
      </c>
      <c r="H505" s="99">
        <v>0</v>
      </c>
      <c r="I505" s="99">
        <v>0</v>
      </c>
      <c r="J505" s="99">
        <v>0</v>
      </c>
      <c r="K505" s="99">
        <v>0</v>
      </c>
      <c r="L505" s="99">
        <v>0</v>
      </c>
      <c r="M505" s="99">
        <v>0</v>
      </c>
      <c r="N505" s="5"/>
      <c r="O505" s="2"/>
      <c r="P505" s="2"/>
      <c r="Q505" s="2"/>
      <c r="R505" s="2"/>
      <c r="S505" s="2"/>
    </row>
    <row r="506" spans="1:19" s="7" customFormat="1" ht="83.1" customHeight="1" x14ac:dyDescent="0.2">
      <c r="A506" s="556"/>
      <c r="B506" s="607"/>
      <c r="C506" s="67" t="s">
        <v>97</v>
      </c>
      <c r="D506" s="46"/>
      <c r="E506" s="99">
        <v>0</v>
      </c>
      <c r="F506" s="99">
        <v>0</v>
      </c>
      <c r="G506" s="99">
        <v>0</v>
      </c>
      <c r="H506" s="99">
        <v>0</v>
      </c>
      <c r="I506" s="99">
        <v>0</v>
      </c>
      <c r="J506" s="99">
        <v>0</v>
      </c>
      <c r="K506" s="99">
        <v>0</v>
      </c>
      <c r="L506" s="99">
        <v>0</v>
      </c>
      <c r="M506" s="99">
        <v>0</v>
      </c>
      <c r="N506" s="5"/>
      <c r="O506" s="2"/>
      <c r="P506" s="2"/>
      <c r="Q506" s="2"/>
      <c r="R506" s="2"/>
      <c r="S506" s="2"/>
    </row>
    <row r="507" spans="1:19" s="7" customFormat="1" ht="57" customHeight="1" x14ac:dyDescent="0.2">
      <c r="A507" s="557"/>
      <c r="B507" s="608"/>
      <c r="C507" s="67" t="s">
        <v>98</v>
      </c>
      <c r="D507" s="46"/>
      <c r="E507" s="99">
        <v>0</v>
      </c>
      <c r="F507" s="99">
        <v>0</v>
      </c>
      <c r="G507" s="99">
        <v>0</v>
      </c>
      <c r="H507" s="99">
        <v>0</v>
      </c>
      <c r="I507" s="99">
        <v>0</v>
      </c>
      <c r="J507" s="99">
        <v>0</v>
      </c>
      <c r="K507" s="99">
        <v>0</v>
      </c>
      <c r="L507" s="99">
        <v>0</v>
      </c>
      <c r="M507" s="99">
        <v>0</v>
      </c>
      <c r="N507" s="5"/>
      <c r="O507" s="2"/>
      <c r="P507" s="2"/>
      <c r="Q507" s="2"/>
      <c r="R507" s="2"/>
      <c r="S507" s="2"/>
    </row>
    <row r="508" spans="1:19" s="6" customFormat="1" ht="27.95" customHeight="1" x14ac:dyDescent="0.25">
      <c r="A508" s="561" t="s">
        <v>228</v>
      </c>
      <c r="B508" s="558" t="s">
        <v>274</v>
      </c>
      <c r="C508" s="58" t="s">
        <v>27</v>
      </c>
      <c r="D508" s="61">
        <v>771</v>
      </c>
      <c r="E508" s="98">
        <f>SUM(E509:E514)</f>
        <v>69685</v>
      </c>
      <c r="F508" s="98">
        <f t="shared" ref="F508:L508" si="91">SUM(F509:F514)</f>
        <v>63610</v>
      </c>
      <c r="G508" s="98">
        <f t="shared" si="91"/>
        <v>30373.65</v>
      </c>
      <c r="H508" s="98">
        <f t="shared" si="91"/>
        <v>24849.54</v>
      </c>
      <c r="I508" s="98">
        <f t="shared" si="91"/>
        <v>45865.279999999999</v>
      </c>
      <c r="J508" s="98">
        <f t="shared" si="91"/>
        <v>45865.279999999999</v>
      </c>
      <c r="K508" s="98">
        <f t="shared" si="91"/>
        <v>45865.279999999999</v>
      </c>
      <c r="L508" s="98">
        <f t="shared" si="91"/>
        <v>45865.279999999999</v>
      </c>
      <c r="M508" s="98">
        <f>SUM(E508:L508)</f>
        <v>371979.31</v>
      </c>
      <c r="N508" s="5"/>
      <c r="O508" s="2"/>
      <c r="P508" s="2"/>
      <c r="Q508" s="2"/>
      <c r="R508" s="2"/>
      <c r="S508" s="2"/>
    </row>
    <row r="509" spans="1:19" s="6" customFormat="1" ht="42" customHeight="1" x14ac:dyDescent="0.25">
      <c r="A509" s="556"/>
      <c r="B509" s="559"/>
      <c r="C509" s="67" t="s">
        <v>93</v>
      </c>
      <c r="D509" s="46"/>
      <c r="E509" s="79">
        <v>0</v>
      </c>
      <c r="F509" s="79">
        <v>0</v>
      </c>
      <c r="G509" s="79">
        <v>0</v>
      </c>
      <c r="H509" s="79">
        <v>0</v>
      </c>
      <c r="I509" s="79">
        <v>0</v>
      </c>
      <c r="J509" s="79">
        <v>0</v>
      </c>
      <c r="K509" s="79">
        <v>0</v>
      </c>
      <c r="L509" s="79">
        <v>0</v>
      </c>
      <c r="M509" s="99">
        <f>SUM(E509:L509)</f>
        <v>0</v>
      </c>
      <c r="N509" s="5"/>
      <c r="O509" s="2"/>
      <c r="P509" s="2"/>
      <c r="Q509" s="2"/>
      <c r="R509" s="2"/>
      <c r="S509" s="2"/>
    </row>
    <row r="510" spans="1:19" s="6" customFormat="1" ht="27.95" customHeight="1" x14ac:dyDescent="0.25">
      <c r="A510" s="556"/>
      <c r="B510" s="559"/>
      <c r="C510" s="67" t="s">
        <v>94</v>
      </c>
      <c r="D510" s="46">
        <v>771</v>
      </c>
      <c r="E510" s="99">
        <f>'Приложение 5'!H207</f>
        <v>69685</v>
      </c>
      <c r="F510" s="99">
        <f>'Приложение 5'!I207</f>
        <v>63610</v>
      </c>
      <c r="G510" s="99">
        <f>'Приложение 5'!J207</f>
        <v>30373.65</v>
      </c>
      <c r="H510" s="99">
        <f>'Приложение 5'!K207</f>
        <v>24849.54</v>
      </c>
      <c r="I510" s="99">
        <f>'Приложение 5'!L207</f>
        <v>45865.279999999999</v>
      </c>
      <c r="J510" s="99">
        <f>'Приложение 5'!M207</f>
        <v>45865.279999999999</v>
      </c>
      <c r="K510" s="99">
        <f>'Приложение 5'!N207</f>
        <v>45865.279999999999</v>
      </c>
      <c r="L510" s="99">
        <f>'Приложение 5'!O207</f>
        <v>45865.279999999999</v>
      </c>
      <c r="M510" s="99">
        <f>'Приложение 5'!P207</f>
        <v>371979.31</v>
      </c>
      <c r="N510" s="5"/>
      <c r="O510" s="2"/>
      <c r="P510" s="2"/>
      <c r="Q510" s="2"/>
      <c r="R510" s="2"/>
      <c r="S510" s="2"/>
    </row>
    <row r="511" spans="1:19" s="6" customFormat="1" ht="57" customHeight="1" x14ac:dyDescent="0.25">
      <c r="A511" s="556"/>
      <c r="B511" s="559"/>
      <c r="C511" s="67" t="s">
        <v>95</v>
      </c>
      <c r="D511" s="46"/>
      <c r="E511" s="79">
        <v>0</v>
      </c>
      <c r="F511" s="79">
        <v>0</v>
      </c>
      <c r="G511" s="79">
        <v>0</v>
      </c>
      <c r="H511" s="79">
        <v>0</v>
      </c>
      <c r="I511" s="79">
        <v>0</v>
      </c>
      <c r="J511" s="79">
        <v>0</v>
      </c>
      <c r="K511" s="79">
        <v>0</v>
      </c>
      <c r="L511" s="79">
        <v>0</v>
      </c>
      <c r="M511" s="79">
        <v>0</v>
      </c>
      <c r="N511" s="5"/>
      <c r="O511" s="2"/>
      <c r="P511" s="2"/>
      <c r="Q511" s="2"/>
      <c r="R511" s="2"/>
      <c r="S511" s="2"/>
    </row>
    <row r="512" spans="1:19" s="6" customFormat="1" ht="83.1" customHeight="1" x14ac:dyDescent="0.25">
      <c r="A512" s="556"/>
      <c r="B512" s="559"/>
      <c r="C512" s="67" t="s">
        <v>96</v>
      </c>
      <c r="D512" s="46"/>
      <c r="E512" s="79">
        <v>0</v>
      </c>
      <c r="F512" s="79">
        <v>0</v>
      </c>
      <c r="G512" s="79">
        <v>0</v>
      </c>
      <c r="H512" s="79">
        <v>0</v>
      </c>
      <c r="I512" s="79">
        <v>0</v>
      </c>
      <c r="J512" s="79">
        <v>0</v>
      </c>
      <c r="K512" s="79">
        <v>0</v>
      </c>
      <c r="L512" s="79">
        <v>0</v>
      </c>
      <c r="M512" s="79">
        <v>0</v>
      </c>
      <c r="N512" s="5"/>
      <c r="O512" s="2"/>
      <c r="P512" s="2"/>
      <c r="Q512" s="2"/>
      <c r="R512" s="2"/>
      <c r="S512" s="2"/>
    </row>
    <row r="513" spans="1:19" s="6" customFormat="1" ht="83.1" customHeight="1" x14ac:dyDescent="0.25">
      <c r="A513" s="556"/>
      <c r="B513" s="559"/>
      <c r="C513" s="67" t="s">
        <v>97</v>
      </c>
      <c r="D513" s="46"/>
      <c r="E513" s="79">
        <v>0</v>
      </c>
      <c r="F513" s="79">
        <v>0</v>
      </c>
      <c r="G513" s="79">
        <v>0</v>
      </c>
      <c r="H513" s="79">
        <v>0</v>
      </c>
      <c r="I513" s="79">
        <v>0</v>
      </c>
      <c r="J513" s="79">
        <v>0</v>
      </c>
      <c r="K513" s="79">
        <v>0</v>
      </c>
      <c r="L513" s="79">
        <v>0</v>
      </c>
      <c r="M513" s="79">
        <v>0</v>
      </c>
      <c r="N513" s="5"/>
      <c r="O513" s="2"/>
      <c r="P513" s="2"/>
      <c r="Q513" s="2"/>
      <c r="R513" s="2"/>
      <c r="S513" s="2"/>
    </row>
    <row r="514" spans="1:19" s="6" customFormat="1" ht="57" customHeight="1" x14ac:dyDescent="0.25">
      <c r="A514" s="557"/>
      <c r="B514" s="560"/>
      <c r="C514" s="67" t="s">
        <v>98</v>
      </c>
      <c r="D514" s="46"/>
      <c r="E514" s="99">
        <v>0</v>
      </c>
      <c r="F514" s="99">
        <v>0</v>
      </c>
      <c r="G514" s="99">
        <v>0</v>
      </c>
      <c r="H514" s="99">
        <v>0</v>
      </c>
      <c r="I514" s="99">
        <v>0</v>
      </c>
      <c r="J514" s="99">
        <v>0</v>
      </c>
      <c r="K514" s="99">
        <v>0</v>
      </c>
      <c r="L514" s="99">
        <v>0</v>
      </c>
      <c r="M514" s="99">
        <v>0</v>
      </c>
      <c r="N514" s="5"/>
      <c r="O514" s="2"/>
      <c r="P514" s="2"/>
      <c r="Q514" s="2"/>
      <c r="R514" s="2"/>
      <c r="S514" s="2"/>
    </row>
    <row r="515" spans="1:19" s="20" customFormat="1" ht="27.95" customHeight="1" x14ac:dyDescent="0.25">
      <c r="A515" s="561" t="s">
        <v>229</v>
      </c>
      <c r="B515" s="591" t="s">
        <v>275</v>
      </c>
      <c r="C515" s="58" t="s">
        <v>27</v>
      </c>
      <c r="D515" s="46">
        <v>771</v>
      </c>
      <c r="E515" s="98">
        <f>SUM(E516:E521)</f>
        <v>55544.43</v>
      </c>
      <c r="F515" s="98">
        <f t="shared" ref="F515:L515" si="92">SUM(F516:F521)</f>
        <v>46610</v>
      </c>
      <c r="G515" s="98">
        <f t="shared" si="92"/>
        <v>21569.72</v>
      </c>
      <c r="H515" s="98">
        <f t="shared" si="92"/>
        <v>11412.4</v>
      </c>
      <c r="I515" s="98">
        <f t="shared" ref="I515:K515" si="93">I517</f>
        <v>23561.279999999999</v>
      </c>
      <c r="J515" s="98">
        <f t="shared" si="93"/>
        <v>23561.279999999999</v>
      </c>
      <c r="K515" s="98">
        <f t="shared" si="93"/>
        <v>23561.279999999999</v>
      </c>
      <c r="L515" s="98">
        <f t="shared" si="92"/>
        <v>0</v>
      </c>
      <c r="M515" s="85">
        <f>SUM(E515:L515)</f>
        <v>205820.39</v>
      </c>
      <c r="N515" s="5"/>
      <c r="O515" s="5"/>
      <c r="P515" s="5"/>
      <c r="Q515" s="5"/>
      <c r="R515" s="5"/>
      <c r="S515" s="5"/>
    </row>
    <row r="516" spans="1:19" s="20" customFormat="1" ht="47.25" customHeight="1" x14ac:dyDescent="0.25">
      <c r="A516" s="556"/>
      <c r="B516" s="592"/>
      <c r="C516" s="67" t="s">
        <v>93</v>
      </c>
      <c r="D516" s="46"/>
      <c r="E516" s="79">
        <v>0</v>
      </c>
      <c r="F516" s="71">
        <v>0</v>
      </c>
      <c r="G516" s="71">
        <v>0</v>
      </c>
      <c r="H516" s="71">
        <v>0</v>
      </c>
      <c r="I516" s="71">
        <v>0</v>
      </c>
      <c r="J516" s="71">
        <v>0</v>
      </c>
      <c r="K516" s="71">
        <v>0</v>
      </c>
      <c r="L516" s="71">
        <v>0</v>
      </c>
      <c r="M516" s="71">
        <v>0</v>
      </c>
      <c r="N516" s="5"/>
      <c r="O516" s="5"/>
      <c r="P516" s="5"/>
      <c r="Q516" s="5"/>
      <c r="R516" s="5"/>
      <c r="S516" s="5"/>
    </row>
    <row r="517" spans="1:19" s="20" customFormat="1" ht="34.5" customHeight="1" x14ac:dyDescent="0.25">
      <c r="A517" s="556"/>
      <c r="B517" s="592"/>
      <c r="C517" s="67" t="s">
        <v>94</v>
      </c>
      <c r="D517" s="46">
        <v>771</v>
      </c>
      <c r="E517" s="99">
        <f>'Приложение 5'!H208</f>
        <v>55544.43</v>
      </c>
      <c r="F517" s="99">
        <f>'Приложение 5'!I209</f>
        <v>46610</v>
      </c>
      <c r="G517" s="99">
        <f>'Приложение 5'!J209</f>
        <v>21569.72</v>
      </c>
      <c r="H517" s="99">
        <f>'Приложение 5'!K210</f>
        <v>11412.4</v>
      </c>
      <c r="I517" s="99">
        <f>'Приложение 5'!L211</f>
        <v>23561.279999999999</v>
      </c>
      <c r="J517" s="99">
        <f>'Приложение 5'!M211</f>
        <v>23561.279999999999</v>
      </c>
      <c r="K517" s="99">
        <f>'Приложение 5'!N211</f>
        <v>23561.279999999999</v>
      </c>
      <c r="L517" s="99">
        <f>'Приложение 5'!O210</f>
        <v>0</v>
      </c>
      <c r="M517" s="99">
        <f>'Приложение 5'!P208</f>
        <v>229381.67</v>
      </c>
      <c r="N517" s="5"/>
      <c r="O517" s="5"/>
      <c r="P517" s="5"/>
      <c r="Q517" s="5"/>
      <c r="R517" s="5"/>
      <c r="S517" s="5"/>
    </row>
    <row r="518" spans="1:19" s="20" customFormat="1" ht="64.5" customHeight="1" x14ac:dyDescent="0.25">
      <c r="A518" s="556"/>
      <c r="B518" s="592"/>
      <c r="C518" s="67" t="s">
        <v>95</v>
      </c>
      <c r="D518" s="46"/>
      <c r="E518" s="71">
        <v>0</v>
      </c>
      <c r="F518" s="71">
        <v>0</v>
      </c>
      <c r="G518" s="71">
        <v>0</v>
      </c>
      <c r="H518" s="71">
        <v>0</v>
      </c>
      <c r="I518" s="71">
        <v>0</v>
      </c>
      <c r="J518" s="71">
        <v>0</v>
      </c>
      <c r="K518" s="71">
        <v>0</v>
      </c>
      <c r="L518" s="71">
        <v>0</v>
      </c>
      <c r="M518" s="71">
        <v>0</v>
      </c>
      <c r="N518" s="5"/>
      <c r="O518" s="5"/>
      <c r="P518" s="5"/>
      <c r="Q518" s="5"/>
      <c r="R518" s="5"/>
      <c r="S518" s="5"/>
    </row>
    <row r="519" spans="1:19" s="20" customFormat="1" ht="87.75" customHeight="1" x14ac:dyDescent="0.25">
      <c r="A519" s="556"/>
      <c r="B519" s="592"/>
      <c r="C519" s="67" t="s">
        <v>96</v>
      </c>
      <c r="D519" s="46"/>
      <c r="E519" s="71">
        <v>0</v>
      </c>
      <c r="F519" s="71">
        <v>0</v>
      </c>
      <c r="G519" s="71">
        <v>0</v>
      </c>
      <c r="H519" s="71">
        <v>0</v>
      </c>
      <c r="I519" s="71">
        <v>0</v>
      </c>
      <c r="J519" s="71">
        <v>0</v>
      </c>
      <c r="K519" s="71">
        <v>0</v>
      </c>
      <c r="L519" s="71">
        <v>0</v>
      </c>
      <c r="M519" s="71">
        <v>0</v>
      </c>
      <c r="N519" s="5"/>
      <c r="O519" s="5"/>
      <c r="P519" s="5"/>
      <c r="Q519" s="5"/>
      <c r="R519" s="5"/>
      <c r="S519" s="5"/>
    </row>
    <row r="520" spans="1:19" s="20" customFormat="1" ht="83.1" customHeight="1" x14ac:dyDescent="0.25">
      <c r="A520" s="556"/>
      <c r="B520" s="592"/>
      <c r="C520" s="67" t="s">
        <v>97</v>
      </c>
      <c r="D520" s="46"/>
      <c r="E520" s="71">
        <v>0</v>
      </c>
      <c r="F520" s="71">
        <v>0</v>
      </c>
      <c r="G520" s="71">
        <v>0</v>
      </c>
      <c r="H520" s="71">
        <v>0</v>
      </c>
      <c r="I520" s="71">
        <v>0</v>
      </c>
      <c r="J520" s="71">
        <v>0</v>
      </c>
      <c r="K520" s="71">
        <v>0</v>
      </c>
      <c r="L520" s="71">
        <v>0</v>
      </c>
      <c r="M520" s="71">
        <v>0</v>
      </c>
      <c r="N520" s="5"/>
      <c r="O520" s="5"/>
      <c r="P520" s="5"/>
      <c r="Q520" s="5"/>
      <c r="R520" s="5"/>
      <c r="S520" s="5"/>
    </row>
    <row r="521" spans="1:19" s="20" customFormat="1" ht="57" customHeight="1" x14ac:dyDescent="0.25">
      <c r="A521" s="557"/>
      <c r="B521" s="593"/>
      <c r="C521" s="67" t="s">
        <v>98</v>
      </c>
      <c r="D521" s="46"/>
      <c r="E521" s="71">
        <v>0</v>
      </c>
      <c r="F521" s="71">
        <v>0</v>
      </c>
      <c r="G521" s="71">
        <v>0</v>
      </c>
      <c r="H521" s="71">
        <v>0</v>
      </c>
      <c r="I521" s="71">
        <v>0</v>
      </c>
      <c r="J521" s="71">
        <v>0</v>
      </c>
      <c r="K521" s="71">
        <v>0</v>
      </c>
      <c r="L521" s="71">
        <v>0</v>
      </c>
      <c r="M521" s="71">
        <v>0</v>
      </c>
      <c r="N521" s="5"/>
      <c r="O521" s="5"/>
      <c r="P521" s="5"/>
      <c r="Q521" s="5"/>
      <c r="R521" s="5"/>
      <c r="S521" s="5"/>
    </row>
    <row r="522" spans="1:19" s="20" customFormat="1" ht="27.95" customHeight="1" x14ac:dyDescent="0.25">
      <c r="A522" s="588" t="s">
        <v>230</v>
      </c>
      <c r="B522" s="558" t="s">
        <v>276</v>
      </c>
      <c r="C522" s="58" t="s">
        <v>27</v>
      </c>
      <c r="D522" s="46">
        <v>771</v>
      </c>
      <c r="E522" s="98">
        <f>SUM(E523:E528)</f>
        <v>14140.57</v>
      </c>
      <c r="F522" s="98">
        <f t="shared" ref="F522:L522" si="94">SUM(F523:F528)</f>
        <v>17000</v>
      </c>
      <c r="G522" s="98">
        <f t="shared" si="94"/>
        <v>8803.93</v>
      </c>
      <c r="H522" s="98">
        <f t="shared" si="94"/>
        <v>13437.14</v>
      </c>
      <c r="I522" s="98">
        <f>'Приложение 5'!L215</f>
        <v>22304</v>
      </c>
      <c r="J522" s="98">
        <f>'Приложение 5'!M215</f>
        <v>22304</v>
      </c>
      <c r="K522" s="98">
        <f>'Приложение 5'!N215</f>
        <v>22304</v>
      </c>
      <c r="L522" s="98">
        <f t="shared" si="94"/>
        <v>0</v>
      </c>
      <c r="M522" s="85">
        <f>SUM(E522:L522)</f>
        <v>120293.64</v>
      </c>
      <c r="N522" s="5"/>
      <c r="O522" s="5"/>
      <c r="P522" s="5"/>
      <c r="Q522" s="5"/>
      <c r="R522" s="5"/>
      <c r="S522" s="5"/>
    </row>
    <row r="523" spans="1:19" s="20" customFormat="1" ht="42" customHeight="1" x14ac:dyDescent="0.25">
      <c r="A523" s="589"/>
      <c r="B523" s="559"/>
      <c r="C523" s="67" t="s">
        <v>93</v>
      </c>
      <c r="D523" s="46"/>
      <c r="E523" s="79">
        <v>0</v>
      </c>
      <c r="F523" s="71">
        <v>0</v>
      </c>
      <c r="G523" s="71">
        <v>0</v>
      </c>
      <c r="H523" s="71">
        <v>0</v>
      </c>
      <c r="I523" s="71">
        <v>0</v>
      </c>
      <c r="J523" s="71">
        <v>0</v>
      </c>
      <c r="K523" s="71">
        <v>0</v>
      </c>
      <c r="L523" s="71">
        <v>0</v>
      </c>
      <c r="M523" s="71">
        <v>0</v>
      </c>
      <c r="N523" s="5"/>
      <c r="O523" s="5"/>
      <c r="P523" s="5"/>
      <c r="Q523" s="5"/>
      <c r="R523" s="5"/>
      <c r="S523" s="5"/>
    </row>
    <row r="524" spans="1:19" s="20" customFormat="1" ht="27.95" customHeight="1" thickBot="1" x14ac:dyDescent="0.3">
      <c r="A524" s="589"/>
      <c r="B524" s="559"/>
      <c r="C524" s="67" t="s">
        <v>94</v>
      </c>
      <c r="D524" s="46">
        <v>771</v>
      </c>
      <c r="E524" s="99">
        <f>'Приложение 5'!H212</f>
        <v>14140.57</v>
      </c>
      <c r="F524" s="99">
        <f>'Приложение 5'!I213</f>
        <v>17000</v>
      </c>
      <c r="G524" s="99">
        <f>'Приложение 5'!J213</f>
        <v>8803.93</v>
      </c>
      <c r="H524" s="99">
        <f>'Приложение 5'!K214</f>
        <v>13437.14</v>
      </c>
      <c r="I524" s="53">
        <f>'Приложение 5'!L215</f>
        <v>22304</v>
      </c>
      <c r="J524" s="53">
        <f>'Приложение 5'!M215</f>
        <v>22304</v>
      </c>
      <c r="K524" s="53">
        <f>'Приложение 5'!N215</f>
        <v>22304</v>
      </c>
      <c r="L524" s="99">
        <f>'Приложение 5'!O214</f>
        <v>0</v>
      </c>
      <c r="M524" s="99">
        <f>'Приложение 5'!P212</f>
        <v>142597.64000000001</v>
      </c>
      <c r="N524" s="5"/>
      <c r="O524" s="5"/>
      <c r="P524" s="5"/>
      <c r="Q524" s="5"/>
      <c r="R524" s="5"/>
      <c r="S524" s="5"/>
    </row>
    <row r="525" spans="1:19" s="20" customFormat="1" ht="57" customHeight="1" x14ac:dyDescent="0.25">
      <c r="A525" s="589"/>
      <c r="B525" s="559"/>
      <c r="C525" s="67" t="s">
        <v>95</v>
      </c>
      <c r="D525" s="46"/>
      <c r="E525" s="71">
        <v>0</v>
      </c>
      <c r="F525" s="71">
        <v>0</v>
      </c>
      <c r="G525" s="71">
        <v>0</v>
      </c>
      <c r="H525" s="71">
        <v>0</v>
      </c>
      <c r="I525" s="71">
        <v>0</v>
      </c>
      <c r="J525" s="71">
        <v>0</v>
      </c>
      <c r="K525" s="71">
        <v>0</v>
      </c>
      <c r="L525" s="71">
        <v>0</v>
      </c>
      <c r="M525" s="71">
        <v>0</v>
      </c>
      <c r="N525" s="5"/>
      <c r="O525" s="5"/>
      <c r="P525" s="5"/>
      <c r="Q525" s="5"/>
      <c r="R525" s="5"/>
      <c r="S525" s="5"/>
    </row>
    <row r="526" spans="1:19" s="20" customFormat="1" ht="83.1" customHeight="1" x14ac:dyDescent="0.25">
      <c r="A526" s="589"/>
      <c r="B526" s="559"/>
      <c r="C526" s="67" t="s">
        <v>96</v>
      </c>
      <c r="D526" s="46"/>
      <c r="E526" s="71">
        <v>0</v>
      </c>
      <c r="F526" s="71">
        <v>0</v>
      </c>
      <c r="G526" s="71">
        <v>0</v>
      </c>
      <c r="H526" s="71">
        <v>0</v>
      </c>
      <c r="I526" s="71">
        <v>0</v>
      </c>
      <c r="J526" s="71">
        <v>0</v>
      </c>
      <c r="K526" s="71">
        <v>0</v>
      </c>
      <c r="L526" s="71">
        <v>0</v>
      </c>
      <c r="M526" s="71">
        <v>0</v>
      </c>
      <c r="N526" s="5"/>
      <c r="O526" s="5"/>
      <c r="P526" s="5"/>
      <c r="Q526" s="5"/>
      <c r="R526" s="5"/>
      <c r="S526" s="5"/>
    </row>
    <row r="527" spans="1:19" s="20" customFormat="1" ht="83.1" customHeight="1" x14ac:dyDescent="0.25">
      <c r="A527" s="589"/>
      <c r="B527" s="559"/>
      <c r="C527" s="67" t="s">
        <v>97</v>
      </c>
      <c r="D527" s="46"/>
      <c r="E527" s="71">
        <v>0</v>
      </c>
      <c r="F527" s="71">
        <v>0</v>
      </c>
      <c r="G527" s="71">
        <v>0</v>
      </c>
      <c r="H527" s="71">
        <v>0</v>
      </c>
      <c r="I527" s="71">
        <v>0</v>
      </c>
      <c r="J527" s="71">
        <v>0</v>
      </c>
      <c r="K527" s="71">
        <v>0</v>
      </c>
      <c r="L527" s="71">
        <v>0</v>
      </c>
      <c r="M527" s="71">
        <v>0</v>
      </c>
      <c r="N527" s="5"/>
      <c r="O527" s="5"/>
      <c r="P527" s="5"/>
      <c r="Q527" s="5"/>
      <c r="R527" s="5"/>
      <c r="S527" s="5"/>
    </row>
    <row r="528" spans="1:19" s="20" customFormat="1" ht="57" customHeight="1" x14ac:dyDescent="0.25">
      <c r="A528" s="590"/>
      <c r="B528" s="560"/>
      <c r="C528" s="67" t="s">
        <v>98</v>
      </c>
      <c r="D528" s="46"/>
      <c r="E528" s="71">
        <v>0</v>
      </c>
      <c r="F528" s="71">
        <v>0</v>
      </c>
      <c r="G528" s="71">
        <v>0</v>
      </c>
      <c r="H528" s="71">
        <v>0</v>
      </c>
      <c r="I528" s="71">
        <v>0</v>
      </c>
      <c r="J528" s="71">
        <v>0</v>
      </c>
      <c r="K528" s="71">
        <v>0</v>
      </c>
      <c r="L528" s="71">
        <v>0</v>
      </c>
      <c r="M528" s="71">
        <v>0</v>
      </c>
      <c r="N528" s="5"/>
      <c r="O528" s="5"/>
      <c r="P528" s="5"/>
      <c r="Q528" s="5"/>
      <c r="R528" s="5"/>
      <c r="S528" s="5"/>
    </row>
    <row r="529" spans="1:19" s="6" customFormat="1" ht="27.95" customHeight="1" x14ac:dyDescent="0.25">
      <c r="A529" s="561" t="s">
        <v>399</v>
      </c>
      <c r="B529" s="591" t="s">
        <v>392</v>
      </c>
      <c r="C529" s="58" t="s">
        <v>27</v>
      </c>
      <c r="D529" s="46">
        <v>771</v>
      </c>
      <c r="E529" s="98">
        <f>SUM(E530:E535)</f>
        <v>20000</v>
      </c>
      <c r="F529" s="98">
        <f t="shared" ref="F529:L529" si="95">SUM(F530:F535)</f>
        <v>20000</v>
      </c>
      <c r="G529" s="98">
        <f t="shared" si="95"/>
        <v>17998</v>
      </c>
      <c r="H529" s="98">
        <f t="shared" si="95"/>
        <v>23886.35</v>
      </c>
      <c r="I529" s="98">
        <f t="shared" si="95"/>
        <v>0</v>
      </c>
      <c r="J529" s="98">
        <f t="shared" si="95"/>
        <v>0</v>
      </c>
      <c r="K529" s="98">
        <f t="shared" si="95"/>
        <v>0</v>
      </c>
      <c r="L529" s="98">
        <f t="shared" si="95"/>
        <v>0</v>
      </c>
      <c r="M529" s="98">
        <f>SUM(E529:L529)</f>
        <v>81884.350000000006</v>
      </c>
      <c r="N529" s="5"/>
      <c r="O529" s="2"/>
      <c r="P529" s="2"/>
      <c r="Q529" s="2"/>
      <c r="R529" s="2"/>
      <c r="S529" s="2"/>
    </row>
    <row r="530" spans="1:19" s="6" customFormat="1" ht="42" customHeight="1" x14ac:dyDescent="0.25">
      <c r="A530" s="589"/>
      <c r="B530" s="592"/>
      <c r="C530" s="67" t="s">
        <v>93</v>
      </c>
      <c r="D530" s="46"/>
      <c r="E530" s="79">
        <v>0</v>
      </c>
      <c r="F530" s="99">
        <v>0</v>
      </c>
      <c r="G530" s="99">
        <v>0</v>
      </c>
      <c r="H530" s="99">
        <v>0</v>
      </c>
      <c r="I530" s="99">
        <v>0</v>
      </c>
      <c r="J530" s="99">
        <v>0</v>
      </c>
      <c r="K530" s="99">
        <v>0</v>
      </c>
      <c r="L530" s="99">
        <v>0</v>
      </c>
      <c r="M530" s="99">
        <v>0</v>
      </c>
      <c r="N530" s="5"/>
      <c r="O530" s="2"/>
      <c r="P530" s="2"/>
      <c r="Q530" s="2"/>
      <c r="R530" s="2"/>
      <c r="S530" s="2"/>
    </row>
    <row r="531" spans="1:19" s="6" customFormat="1" ht="27.95" customHeight="1" x14ac:dyDescent="0.25">
      <c r="A531" s="589"/>
      <c r="B531" s="592"/>
      <c r="C531" s="67" t="s">
        <v>94</v>
      </c>
      <c r="D531" s="46">
        <v>771</v>
      </c>
      <c r="E531" s="99">
        <f>'Приложение 5'!H216</f>
        <v>20000</v>
      </c>
      <c r="F531" s="99">
        <f>'Приложение 5'!I217</f>
        <v>20000</v>
      </c>
      <c r="G531" s="99">
        <f>'Приложение 5'!J217</f>
        <v>17998</v>
      </c>
      <c r="H531" s="99">
        <f>'Приложение 5'!K218</f>
        <v>23886.35</v>
      </c>
      <c r="I531" s="99">
        <f>'Приложение 5'!L218</f>
        <v>0</v>
      </c>
      <c r="J531" s="99">
        <f>'Приложение 5'!M218</f>
        <v>0</v>
      </c>
      <c r="K531" s="99">
        <f>'Приложение 5'!N218</f>
        <v>0</v>
      </c>
      <c r="L531" s="99">
        <f>'Приложение 5'!O218</f>
        <v>0</v>
      </c>
      <c r="M531" s="99">
        <f>'Приложение 5'!P216</f>
        <v>81884.350000000006</v>
      </c>
      <c r="N531" s="5"/>
      <c r="O531" s="2"/>
      <c r="P531" s="2"/>
      <c r="Q531" s="2"/>
      <c r="R531" s="2"/>
      <c r="S531" s="2"/>
    </row>
    <row r="532" spans="1:19" s="6" customFormat="1" ht="57" customHeight="1" x14ac:dyDescent="0.25">
      <c r="A532" s="589"/>
      <c r="B532" s="592"/>
      <c r="C532" s="67" t="s">
        <v>95</v>
      </c>
      <c r="D532" s="46"/>
      <c r="E532" s="99">
        <v>0</v>
      </c>
      <c r="F532" s="99">
        <v>0</v>
      </c>
      <c r="G532" s="99">
        <v>0</v>
      </c>
      <c r="H532" s="99">
        <v>0</v>
      </c>
      <c r="I532" s="99">
        <v>0</v>
      </c>
      <c r="J532" s="99">
        <v>0</v>
      </c>
      <c r="K532" s="99">
        <v>0</v>
      </c>
      <c r="L532" s="99">
        <v>0</v>
      </c>
      <c r="M532" s="99">
        <v>0</v>
      </c>
      <c r="N532" s="5"/>
      <c r="O532" s="2"/>
      <c r="P532" s="2"/>
      <c r="Q532" s="2"/>
      <c r="R532" s="2"/>
      <c r="S532" s="2"/>
    </row>
    <row r="533" spans="1:19" s="6" customFormat="1" ht="83.1" customHeight="1" x14ac:dyDescent="0.25">
      <c r="A533" s="589"/>
      <c r="B533" s="592"/>
      <c r="C533" s="67" t="s">
        <v>96</v>
      </c>
      <c r="D533" s="46"/>
      <c r="E533" s="99">
        <v>0</v>
      </c>
      <c r="F533" s="99">
        <v>0</v>
      </c>
      <c r="G533" s="99">
        <v>0</v>
      </c>
      <c r="H533" s="99">
        <v>0</v>
      </c>
      <c r="I533" s="99">
        <v>0</v>
      </c>
      <c r="J533" s="99">
        <v>0</v>
      </c>
      <c r="K533" s="99">
        <v>0</v>
      </c>
      <c r="L533" s="99">
        <v>0</v>
      </c>
      <c r="M533" s="99">
        <v>0</v>
      </c>
      <c r="N533" s="5"/>
      <c r="O533" s="2"/>
      <c r="P533" s="2"/>
      <c r="Q533" s="2"/>
      <c r="R533" s="2"/>
      <c r="S533" s="2"/>
    </row>
    <row r="534" spans="1:19" s="6" customFormat="1" ht="83.1" customHeight="1" x14ac:dyDescent="0.25">
      <c r="A534" s="589"/>
      <c r="B534" s="592"/>
      <c r="C534" s="67" t="s">
        <v>97</v>
      </c>
      <c r="D534" s="46"/>
      <c r="E534" s="99">
        <v>0</v>
      </c>
      <c r="F534" s="99">
        <v>0</v>
      </c>
      <c r="G534" s="99">
        <v>0</v>
      </c>
      <c r="H534" s="99">
        <v>0</v>
      </c>
      <c r="I534" s="99">
        <v>0</v>
      </c>
      <c r="J534" s="99">
        <v>0</v>
      </c>
      <c r="K534" s="99">
        <v>0</v>
      </c>
      <c r="L534" s="99">
        <v>0</v>
      </c>
      <c r="M534" s="99">
        <v>0</v>
      </c>
      <c r="N534" s="5"/>
      <c r="O534" s="2"/>
      <c r="P534" s="2"/>
      <c r="Q534" s="2"/>
      <c r="R534" s="2"/>
      <c r="S534" s="2"/>
    </row>
    <row r="535" spans="1:19" s="6" customFormat="1" ht="57" customHeight="1" x14ac:dyDescent="0.25">
      <c r="A535" s="590"/>
      <c r="B535" s="593"/>
      <c r="C535" s="67" t="s">
        <v>98</v>
      </c>
      <c r="D535" s="46"/>
      <c r="E535" s="99">
        <v>0</v>
      </c>
      <c r="F535" s="99">
        <v>0</v>
      </c>
      <c r="G535" s="99">
        <v>0</v>
      </c>
      <c r="H535" s="99">
        <v>0</v>
      </c>
      <c r="I535" s="99">
        <v>0</v>
      </c>
      <c r="J535" s="99">
        <v>0</v>
      </c>
      <c r="K535" s="99">
        <v>0</v>
      </c>
      <c r="L535" s="99">
        <v>0</v>
      </c>
      <c r="M535" s="99">
        <v>0</v>
      </c>
      <c r="N535" s="5"/>
      <c r="O535" s="2"/>
      <c r="P535" s="2"/>
      <c r="Q535" s="2"/>
      <c r="R535" s="2"/>
      <c r="S535" s="2"/>
    </row>
    <row r="536" spans="1:19" s="6" customFormat="1" ht="27.95" customHeight="1" x14ac:dyDescent="0.25">
      <c r="A536" s="585" t="s">
        <v>264</v>
      </c>
      <c r="B536" s="591" t="s">
        <v>81</v>
      </c>
      <c r="C536" s="58" t="s">
        <v>27</v>
      </c>
      <c r="D536" s="46">
        <v>771</v>
      </c>
      <c r="E536" s="98">
        <f>SUM(E537:E542)</f>
        <v>5300</v>
      </c>
      <c r="F536" s="98">
        <f t="shared" ref="F536:L536" si="96">SUM(F537:F542)</f>
        <v>500</v>
      </c>
      <c r="G536" s="98">
        <f t="shared" si="96"/>
        <v>0</v>
      </c>
      <c r="H536" s="98">
        <f t="shared" si="96"/>
        <v>0</v>
      </c>
      <c r="I536" s="98">
        <f t="shared" si="96"/>
        <v>0</v>
      </c>
      <c r="J536" s="98">
        <f t="shared" si="96"/>
        <v>0</v>
      </c>
      <c r="K536" s="98">
        <f t="shared" si="96"/>
        <v>0</v>
      </c>
      <c r="L536" s="98">
        <f t="shared" si="96"/>
        <v>0</v>
      </c>
      <c r="M536" s="98">
        <f>SUM(E536:L536)</f>
        <v>5800</v>
      </c>
      <c r="N536" s="5"/>
      <c r="O536" s="2"/>
      <c r="P536" s="2"/>
      <c r="Q536" s="2"/>
      <c r="R536" s="2"/>
      <c r="S536" s="2"/>
    </row>
    <row r="537" spans="1:19" s="6" customFormat="1" ht="42" customHeight="1" x14ac:dyDescent="0.25">
      <c r="A537" s="586"/>
      <c r="B537" s="592"/>
      <c r="C537" s="67" t="s">
        <v>93</v>
      </c>
      <c r="D537" s="46"/>
      <c r="E537" s="79">
        <v>0</v>
      </c>
      <c r="F537" s="99">
        <v>0</v>
      </c>
      <c r="G537" s="99">
        <v>0</v>
      </c>
      <c r="H537" s="99">
        <v>0</v>
      </c>
      <c r="I537" s="99">
        <v>0</v>
      </c>
      <c r="J537" s="99">
        <v>0</v>
      </c>
      <c r="K537" s="99">
        <v>0</v>
      </c>
      <c r="L537" s="99">
        <v>0</v>
      </c>
      <c r="M537" s="99">
        <v>0</v>
      </c>
      <c r="N537" s="5"/>
      <c r="O537" s="2"/>
      <c r="P537" s="2"/>
      <c r="Q537" s="2"/>
      <c r="R537" s="2"/>
      <c r="S537" s="2"/>
    </row>
    <row r="538" spans="1:19" s="6" customFormat="1" ht="27.95" customHeight="1" x14ac:dyDescent="0.25">
      <c r="A538" s="586"/>
      <c r="B538" s="592"/>
      <c r="C538" s="67" t="s">
        <v>94</v>
      </c>
      <c r="D538" s="46">
        <v>771</v>
      </c>
      <c r="E538" s="99">
        <f>'Приложение 5'!H219</f>
        <v>5300</v>
      </c>
      <c r="F538" s="99">
        <f>'Приложение 5'!I220</f>
        <v>500</v>
      </c>
      <c r="G538" s="99">
        <f>'Приложение 5'!J220</f>
        <v>0</v>
      </c>
      <c r="H538" s="99">
        <f>'Приложение 5'!K220</f>
        <v>0</v>
      </c>
      <c r="I538" s="99">
        <f>'Приложение 5'!L220</f>
        <v>0</v>
      </c>
      <c r="J538" s="99">
        <f>'Приложение 5'!M220</f>
        <v>0</v>
      </c>
      <c r="K538" s="99">
        <f>'Приложение 5'!N220</f>
        <v>0</v>
      </c>
      <c r="L538" s="99">
        <f>'Приложение 5'!O220</f>
        <v>0</v>
      </c>
      <c r="M538" s="99">
        <f>'Приложение 5'!P219</f>
        <v>5800</v>
      </c>
      <c r="N538" s="5"/>
      <c r="O538" s="2"/>
      <c r="P538" s="2"/>
      <c r="Q538" s="2"/>
      <c r="R538" s="2"/>
      <c r="S538" s="2"/>
    </row>
    <row r="539" spans="1:19" s="6" customFormat="1" ht="57" customHeight="1" x14ac:dyDescent="0.25">
      <c r="A539" s="586"/>
      <c r="B539" s="592"/>
      <c r="C539" s="67" t="s">
        <v>95</v>
      </c>
      <c r="D539" s="46"/>
      <c r="E539" s="99">
        <v>0</v>
      </c>
      <c r="F539" s="99">
        <v>0</v>
      </c>
      <c r="G539" s="99">
        <v>0</v>
      </c>
      <c r="H539" s="99">
        <v>0</v>
      </c>
      <c r="I539" s="99">
        <v>0</v>
      </c>
      <c r="J539" s="99">
        <v>0</v>
      </c>
      <c r="K539" s="99">
        <v>0</v>
      </c>
      <c r="L539" s="99">
        <v>0</v>
      </c>
      <c r="M539" s="99">
        <v>0</v>
      </c>
      <c r="N539" s="5"/>
      <c r="O539" s="2"/>
      <c r="P539" s="2"/>
      <c r="Q539" s="2"/>
      <c r="R539" s="2"/>
      <c r="S539" s="2"/>
    </row>
    <row r="540" spans="1:19" s="6" customFormat="1" ht="83.1" customHeight="1" x14ac:dyDescent="0.25">
      <c r="A540" s="586"/>
      <c r="B540" s="592"/>
      <c r="C540" s="67" t="s">
        <v>96</v>
      </c>
      <c r="D540" s="46"/>
      <c r="E540" s="99">
        <v>0</v>
      </c>
      <c r="F540" s="99">
        <v>0</v>
      </c>
      <c r="G540" s="99">
        <v>0</v>
      </c>
      <c r="H540" s="99">
        <v>0</v>
      </c>
      <c r="I540" s="99">
        <v>0</v>
      </c>
      <c r="J540" s="99">
        <v>0</v>
      </c>
      <c r="K540" s="99">
        <v>0</v>
      </c>
      <c r="L540" s="99">
        <v>0</v>
      </c>
      <c r="M540" s="99">
        <v>0</v>
      </c>
      <c r="N540" s="5"/>
      <c r="O540" s="2"/>
      <c r="P540" s="2"/>
      <c r="Q540" s="2"/>
      <c r="R540" s="2"/>
      <c r="S540" s="2"/>
    </row>
    <row r="541" spans="1:19" s="6" customFormat="1" ht="83.1" customHeight="1" x14ac:dyDescent="0.25">
      <c r="A541" s="586"/>
      <c r="B541" s="592"/>
      <c r="C541" s="67" t="s">
        <v>97</v>
      </c>
      <c r="D541" s="46"/>
      <c r="E541" s="99">
        <v>0</v>
      </c>
      <c r="F541" s="99">
        <v>0</v>
      </c>
      <c r="G541" s="99">
        <v>0</v>
      </c>
      <c r="H541" s="99">
        <v>0</v>
      </c>
      <c r="I541" s="99">
        <v>0</v>
      </c>
      <c r="J541" s="99">
        <v>0</v>
      </c>
      <c r="K541" s="99">
        <v>0</v>
      </c>
      <c r="L541" s="99">
        <v>0</v>
      </c>
      <c r="M541" s="99">
        <v>0</v>
      </c>
      <c r="N541" s="5"/>
      <c r="O541" s="2"/>
      <c r="P541" s="2"/>
      <c r="Q541" s="2"/>
      <c r="R541" s="2"/>
      <c r="S541" s="2"/>
    </row>
    <row r="542" spans="1:19" s="6" customFormat="1" ht="57" customHeight="1" x14ac:dyDescent="0.25">
      <c r="A542" s="587"/>
      <c r="B542" s="593"/>
      <c r="C542" s="67" t="s">
        <v>98</v>
      </c>
      <c r="D542" s="46"/>
      <c r="E542" s="99">
        <v>0</v>
      </c>
      <c r="F542" s="99">
        <v>0</v>
      </c>
      <c r="G542" s="99">
        <v>0</v>
      </c>
      <c r="H542" s="99">
        <v>0</v>
      </c>
      <c r="I542" s="99">
        <v>0</v>
      </c>
      <c r="J542" s="99">
        <v>0</v>
      </c>
      <c r="K542" s="99">
        <v>0</v>
      </c>
      <c r="L542" s="99">
        <v>0</v>
      </c>
      <c r="M542" s="99">
        <v>0</v>
      </c>
      <c r="N542" s="5"/>
      <c r="O542" s="2"/>
      <c r="P542" s="2"/>
      <c r="Q542" s="2"/>
      <c r="R542" s="2"/>
      <c r="S542" s="2"/>
    </row>
    <row r="543" spans="1:19" s="6" customFormat="1" ht="27.95" customHeight="1" x14ac:dyDescent="0.25">
      <c r="A543" s="585" t="s">
        <v>265</v>
      </c>
      <c r="B543" s="558" t="s">
        <v>82</v>
      </c>
      <c r="C543" s="58" t="s">
        <v>27</v>
      </c>
      <c r="D543" s="46">
        <v>771</v>
      </c>
      <c r="E543" s="98">
        <f>SUM(E544:E549)</f>
        <v>300</v>
      </c>
      <c r="F543" s="98">
        <f t="shared" ref="F543:L543" si="97">SUM(F544:F549)</f>
        <v>0</v>
      </c>
      <c r="G543" s="98">
        <f t="shared" si="97"/>
        <v>0</v>
      </c>
      <c r="H543" s="98">
        <f t="shared" si="97"/>
        <v>0</v>
      </c>
      <c r="I543" s="98">
        <f t="shared" si="97"/>
        <v>0</v>
      </c>
      <c r="J543" s="98">
        <f t="shared" si="97"/>
        <v>0</v>
      </c>
      <c r="K543" s="98">
        <f t="shared" si="97"/>
        <v>0</v>
      </c>
      <c r="L543" s="98">
        <f t="shared" si="97"/>
        <v>0</v>
      </c>
      <c r="M543" s="98">
        <f>SUM(E543:L543)</f>
        <v>300</v>
      </c>
      <c r="N543" s="5"/>
      <c r="O543" s="2"/>
      <c r="P543" s="2"/>
      <c r="Q543" s="2"/>
      <c r="R543" s="2"/>
      <c r="S543" s="2"/>
    </row>
    <row r="544" spans="1:19" s="6" customFormat="1" ht="42" customHeight="1" x14ac:dyDescent="0.25">
      <c r="A544" s="586"/>
      <c r="B544" s="559"/>
      <c r="C544" s="67" t="s">
        <v>93</v>
      </c>
      <c r="D544" s="46"/>
      <c r="E544" s="79">
        <v>0</v>
      </c>
      <c r="F544" s="99">
        <v>0</v>
      </c>
      <c r="G544" s="99">
        <v>0</v>
      </c>
      <c r="H544" s="99">
        <v>0</v>
      </c>
      <c r="I544" s="99">
        <v>0</v>
      </c>
      <c r="J544" s="99">
        <v>0</v>
      </c>
      <c r="K544" s="99">
        <v>0</v>
      </c>
      <c r="L544" s="99">
        <v>0</v>
      </c>
      <c r="M544" s="99">
        <v>0</v>
      </c>
      <c r="N544" s="5"/>
      <c r="O544" s="2"/>
      <c r="P544" s="2"/>
      <c r="Q544" s="2"/>
      <c r="R544" s="2"/>
      <c r="S544" s="2"/>
    </row>
    <row r="545" spans="1:19" s="6" customFormat="1" ht="27.95" customHeight="1" x14ac:dyDescent="0.25">
      <c r="A545" s="586"/>
      <c r="B545" s="559"/>
      <c r="C545" s="67" t="s">
        <v>94</v>
      </c>
      <c r="D545" s="46">
        <v>771</v>
      </c>
      <c r="E545" s="99">
        <f>'Приложение 5'!H221</f>
        <v>300</v>
      </c>
      <c r="F545" s="99">
        <f>'Приложение 5'!I221</f>
        <v>0</v>
      </c>
      <c r="G545" s="99">
        <f>'Приложение 5'!J221</f>
        <v>0</v>
      </c>
      <c r="H545" s="99">
        <f>'Приложение 5'!K221</f>
        <v>0</v>
      </c>
      <c r="I545" s="99">
        <f>'Приложение 5'!L221</f>
        <v>0</v>
      </c>
      <c r="J545" s="99">
        <f>'Приложение 5'!M221</f>
        <v>0</v>
      </c>
      <c r="K545" s="99">
        <f>'Приложение 5'!N221</f>
        <v>0</v>
      </c>
      <c r="L545" s="99">
        <f>'Приложение 5'!O221</f>
        <v>0</v>
      </c>
      <c r="M545" s="99">
        <f>'Приложение 5'!P221</f>
        <v>300</v>
      </c>
      <c r="N545" s="5"/>
      <c r="O545" s="2"/>
      <c r="P545" s="2"/>
      <c r="Q545" s="2"/>
      <c r="R545" s="2"/>
      <c r="S545" s="2"/>
    </row>
    <row r="546" spans="1:19" s="6" customFormat="1" ht="57" customHeight="1" x14ac:dyDescent="0.25">
      <c r="A546" s="586"/>
      <c r="B546" s="559"/>
      <c r="C546" s="67" t="s">
        <v>95</v>
      </c>
      <c r="D546" s="46"/>
      <c r="E546" s="99">
        <v>0</v>
      </c>
      <c r="F546" s="99">
        <v>0</v>
      </c>
      <c r="G546" s="99">
        <v>0</v>
      </c>
      <c r="H546" s="99">
        <v>0</v>
      </c>
      <c r="I546" s="99">
        <v>0</v>
      </c>
      <c r="J546" s="99">
        <v>0</v>
      </c>
      <c r="K546" s="99">
        <v>0</v>
      </c>
      <c r="L546" s="99">
        <v>0</v>
      </c>
      <c r="M546" s="99">
        <v>0</v>
      </c>
      <c r="N546" s="5"/>
      <c r="O546" s="2"/>
      <c r="P546" s="2"/>
      <c r="Q546" s="2"/>
      <c r="R546" s="2"/>
      <c r="S546" s="2"/>
    </row>
    <row r="547" spans="1:19" s="6" customFormat="1" ht="83.1" customHeight="1" x14ac:dyDescent="0.25">
      <c r="A547" s="586"/>
      <c r="B547" s="559"/>
      <c r="C547" s="67" t="s">
        <v>96</v>
      </c>
      <c r="D547" s="46"/>
      <c r="E547" s="99">
        <v>0</v>
      </c>
      <c r="F547" s="99">
        <v>0</v>
      </c>
      <c r="G547" s="99">
        <v>0</v>
      </c>
      <c r="H547" s="99">
        <v>0</v>
      </c>
      <c r="I547" s="99">
        <v>0</v>
      </c>
      <c r="J547" s="99">
        <v>0</v>
      </c>
      <c r="K547" s="99">
        <v>0</v>
      </c>
      <c r="L547" s="99">
        <v>0</v>
      </c>
      <c r="M547" s="99">
        <v>0</v>
      </c>
      <c r="N547" s="5"/>
      <c r="O547" s="2"/>
      <c r="P547" s="2"/>
      <c r="Q547" s="2"/>
      <c r="R547" s="2"/>
      <c r="S547" s="2"/>
    </row>
    <row r="548" spans="1:19" s="6" customFormat="1" ht="83.1" customHeight="1" x14ac:dyDescent="0.25">
      <c r="A548" s="586"/>
      <c r="B548" s="559"/>
      <c r="C548" s="67" t="s">
        <v>97</v>
      </c>
      <c r="D548" s="46"/>
      <c r="E548" s="99">
        <v>0</v>
      </c>
      <c r="F548" s="99">
        <v>0</v>
      </c>
      <c r="G548" s="99">
        <v>0</v>
      </c>
      <c r="H548" s="99">
        <v>0</v>
      </c>
      <c r="I548" s="99">
        <v>0</v>
      </c>
      <c r="J548" s="99">
        <v>0</v>
      </c>
      <c r="K548" s="99">
        <v>0</v>
      </c>
      <c r="L548" s="99">
        <v>0</v>
      </c>
      <c r="M548" s="99">
        <v>0</v>
      </c>
      <c r="N548" s="5"/>
      <c r="O548" s="2"/>
      <c r="P548" s="2"/>
      <c r="Q548" s="2"/>
      <c r="R548" s="2"/>
      <c r="S548" s="2"/>
    </row>
    <row r="549" spans="1:19" s="6" customFormat="1" ht="57" customHeight="1" x14ac:dyDescent="0.25">
      <c r="A549" s="587"/>
      <c r="B549" s="560"/>
      <c r="C549" s="67" t="s">
        <v>98</v>
      </c>
      <c r="D549" s="46"/>
      <c r="E549" s="99">
        <v>0</v>
      </c>
      <c r="F549" s="99">
        <v>0</v>
      </c>
      <c r="G549" s="99">
        <v>0</v>
      </c>
      <c r="H549" s="99">
        <v>0</v>
      </c>
      <c r="I549" s="99">
        <v>0</v>
      </c>
      <c r="J549" s="99">
        <v>0</v>
      </c>
      <c r="K549" s="99">
        <v>0</v>
      </c>
      <c r="L549" s="99">
        <v>0</v>
      </c>
      <c r="M549" s="99">
        <v>0</v>
      </c>
      <c r="N549" s="5"/>
      <c r="O549" s="2"/>
      <c r="P549" s="2"/>
      <c r="Q549" s="2"/>
      <c r="R549" s="2"/>
      <c r="S549" s="2"/>
    </row>
    <row r="550" spans="1:19" s="6" customFormat="1" ht="27.95" customHeight="1" x14ac:dyDescent="0.25">
      <c r="A550" s="585" t="s">
        <v>266</v>
      </c>
      <c r="B550" s="569" t="s">
        <v>87</v>
      </c>
      <c r="C550" s="58" t="s">
        <v>27</v>
      </c>
      <c r="D550" s="46">
        <v>771</v>
      </c>
      <c r="E550" s="98">
        <f>SUM(E551:E556)</f>
        <v>0</v>
      </c>
      <c r="F550" s="98">
        <f t="shared" ref="F550:L550" si="98">SUM(F551:F556)</f>
        <v>0</v>
      </c>
      <c r="G550" s="98">
        <f t="shared" si="98"/>
        <v>0</v>
      </c>
      <c r="H550" s="98">
        <f t="shared" si="98"/>
        <v>0</v>
      </c>
      <c r="I550" s="99">
        <v>0</v>
      </c>
      <c r="J550" s="99">
        <v>0</v>
      </c>
      <c r="K550" s="99">
        <v>0</v>
      </c>
      <c r="L550" s="98">
        <f t="shared" si="98"/>
        <v>3000</v>
      </c>
      <c r="M550" s="98">
        <f>SUM(E550:I550)</f>
        <v>0</v>
      </c>
      <c r="N550" s="5"/>
      <c r="O550" s="2"/>
      <c r="P550" s="2"/>
      <c r="Q550" s="2"/>
      <c r="R550" s="2"/>
      <c r="S550" s="2"/>
    </row>
    <row r="551" spans="1:19" s="6" customFormat="1" ht="42" customHeight="1" x14ac:dyDescent="0.25">
      <c r="A551" s="586"/>
      <c r="B551" s="569"/>
      <c r="C551" s="67" t="s">
        <v>93</v>
      </c>
      <c r="D551" s="46"/>
      <c r="E551" s="79">
        <v>0</v>
      </c>
      <c r="F551" s="99">
        <v>0</v>
      </c>
      <c r="G551" s="99">
        <v>0</v>
      </c>
      <c r="H551" s="99">
        <v>0</v>
      </c>
      <c r="I551" s="99">
        <v>0</v>
      </c>
      <c r="J551" s="99">
        <v>0</v>
      </c>
      <c r="K551" s="99">
        <v>0</v>
      </c>
      <c r="L551" s="99">
        <v>0</v>
      </c>
      <c r="M551" s="99">
        <v>0</v>
      </c>
      <c r="N551" s="5"/>
      <c r="O551" s="2"/>
      <c r="P551" s="2"/>
      <c r="Q551" s="2"/>
      <c r="R551" s="2"/>
      <c r="S551" s="2"/>
    </row>
    <row r="552" spans="1:19" s="6" customFormat="1" ht="27.95" customHeight="1" x14ac:dyDescent="0.25">
      <c r="A552" s="586"/>
      <c r="B552" s="569"/>
      <c r="C552" s="67" t="s">
        <v>94</v>
      </c>
      <c r="D552" s="46">
        <v>771</v>
      </c>
      <c r="E552" s="99">
        <f>'Приложение 5'!H223</f>
        <v>0</v>
      </c>
      <c r="F552" s="99">
        <f>'Приложение 5'!I223</f>
        <v>0</v>
      </c>
      <c r="G552" s="99">
        <f>'Приложение 5'!J223</f>
        <v>0</v>
      </c>
      <c r="H552" s="99">
        <f>'Приложение 5'!K223</f>
        <v>0</v>
      </c>
      <c r="I552" s="99">
        <v>0</v>
      </c>
      <c r="J552" s="99">
        <v>0</v>
      </c>
      <c r="K552" s="99">
        <v>0</v>
      </c>
      <c r="L552" s="99">
        <f>'Приложение 5'!O223</f>
        <v>3000</v>
      </c>
      <c r="M552" s="99">
        <f>SUM(E552:I552)</f>
        <v>0</v>
      </c>
      <c r="N552" s="5"/>
      <c r="O552" s="2"/>
      <c r="P552" s="2"/>
      <c r="Q552" s="2"/>
      <c r="R552" s="2"/>
      <c r="S552" s="2"/>
    </row>
    <row r="553" spans="1:19" s="6" customFormat="1" ht="57" customHeight="1" x14ac:dyDescent="0.25">
      <c r="A553" s="586"/>
      <c r="B553" s="569"/>
      <c r="C553" s="67" t="s">
        <v>95</v>
      </c>
      <c r="D553" s="46"/>
      <c r="E553" s="99">
        <v>0</v>
      </c>
      <c r="F553" s="99">
        <v>0</v>
      </c>
      <c r="G553" s="99">
        <v>0</v>
      </c>
      <c r="H553" s="99">
        <v>0</v>
      </c>
      <c r="I553" s="99">
        <v>0</v>
      </c>
      <c r="J553" s="99">
        <v>0</v>
      </c>
      <c r="K553" s="99">
        <v>0</v>
      </c>
      <c r="L553" s="99">
        <v>0</v>
      </c>
      <c r="M553" s="99">
        <v>0</v>
      </c>
      <c r="N553" s="5"/>
      <c r="O553" s="2"/>
      <c r="P553" s="2"/>
      <c r="Q553" s="2"/>
      <c r="R553" s="2"/>
      <c r="S553" s="2"/>
    </row>
    <row r="554" spans="1:19" s="6" customFormat="1" ht="83.1" customHeight="1" x14ac:dyDescent="0.25">
      <c r="A554" s="586"/>
      <c r="B554" s="569"/>
      <c r="C554" s="67" t="s">
        <v>96</v>
      </c>
      <c r="D554" s="46"/>
      <c r="E554" s="99">
        <v>0</v>
      </c>
      <c r="F554" s="99">
        <v>0</v>
      </c>
      <c r="G554" s="99">
        <v>0</v>
      </c>
      <c r="H554" s="99">
        <v>0</v>
      </c>
      <c r="I554" s="99">
        <v>0</v>
      </c>
      <c r="J554" s="99">
        <v>0</v>
      </c>
      <c r="K554" s="99">
        <v>0</v>
      </c>
      <c r="L554" s="99">
        <v>0</v>
      </c>
      <c r="M554" s="99">
        <v>0</v>
      </c>
      <c r="N554" s="5"/>
      <c r="O554" s="2"/>
      <c r="P554" s="2"/>
      <c r="Q554" s="2"/>
      <c r="R554" s="2"/>
      <c r="S554" s="2"/>
    </row>
    <row r="555" spans="1:19" s="6" customFormat="1" ht="83.1" customHeight="1" x14ac:dyDescent="0.25">
      <c r="A555" s="586"/>
      <c r="B555" s="569"/>
      <c r="C555" s="67" t="s">
        <v>97</v>
      </c>
      <c r="D555" s="46"/>
      <c r="E555" s="99">
        <v>0</v>
      </c>
      <c r="F555" s="99">
        <v>0</v>
      </c>
      <c r="G555" s="99">
        <v>0</v>
      </c>
      <c r="H555" s="99">
        <v>0</v>
      </c>
      <c r="I555" s="99">
        <v>0</v>
      </c>
      <c r="J555" s="99">
        <v>0</v>
      </c>
      <c r="K555" s="99">
        <v>0</v>
      </c>
      <c r="L555" s="99">
        <v>0</v>
      </c>
      <c r="M555" s="99">
        <v>0</v>
      </c>
      <c r="N555" s="5"/>
      <c r="O555" s="2"/>
      <c r="P555" s="2"/>
      <c r="Q555" s="2"/>
      <c r="R555" s="2"/>
      <c r="S555" s="2"/>
    </row>
    <row r="556" spans="1:19" s="6" customFormat="1" ht="57" customHeight="1" x14ac:dyDescent="0.25">
      <c r="A556" s="587"/>
      <c r="B556" s="569"/>
      <c r="C556" s="67" t="s">
        <v>98</v>
      </c>
      <c r="D556" s="46"/>
      <c r="E556" s="99">
        <v>0</v>
      </c>
      <c r="F556" s="99">
        <v>0</v>
      </c>
      <c r="G556" s="99">
        <v>0</v>
      </c>
      <c r="H556" s="99">
        <v>0</v>
      </c>
      <c r="I556" s="79">
        <v>0</v>
      </c>
      <c r="J556" s="79">
        <v>0</v>
      </c>
      <c r="K556" s="79">
        <v>0</v>
      </c>
      <c r="L556" s="99">
        <v>0</v>
      </c>
      <c r="M556" s="99">
        <v>0</v>
      </c>
      <c r="N556" s="5"/>
      <c r="O556" s="2"/>
      <c r="P556" s="2"/>
      <c r="Q556" s="2"/>
      <c r="R556" s="2"/>
      <c r="S556" s="2"/>
    </row>
    <row r="557" spans="1:19" s="6" customFormat="1" ht="57" customHeight="1" x14ac:dyDescent="0.25">
      <c r="A557" s="585" t="s">
        <v>402</v>
      </c>
      <c r="B557" s="558" t="s">
        <v>403</v>
      </c>
      <c r="C557" s="183" t="str">
        <f t="shared" ref="C557:C563" si="99">C550</f>
        <v>всего:</v>
      </c>
      <c r="D557" s="46"/>
      <c r="E557" s="99">
        <v>0</v>
      </c>
      <c r="F557" s="99">
        <v>0</v>
      </c>
      <c r="G557" s="99">
        <v>0</v>
      </c>
      <c r="H557" s="99">
        <v>0</v>
      </c>
      <c r="I557" s="433">
        <f>'Приложение 5'!L223</f>
        <v>3000</v>
      </c>
      <c r="J557" s="433">
        <f>'Приложение 5'!M223</f>
        <v>3000</v>
      </c>
      <c r="K557" s="433">
        <f>'Приложение 5'!N223</f>
        <v>3000</v>
      </c>
      <c r="L557" s="99">
        <v>0</v>
      </c>
      <c r="M557" s="99">
        <f>I557+J557+K557</f>
        <v>9000</v>
      </c>
      <c r="N557" s="5"/>
      <c r="O557" s="2"/>
      <c r="P557" s="2"/>
      <c r="Q557" s="2"/>
      <c r="R557" s="2"/>
      <c r="S557" s="2"/>
    </row>
    <row r="558" spans="1:19" s="6" customFormat="1" ht="57" customHeight="1" x14ac:dyDescent="0.25">
      <c r="A558" s="611"/>
      <c r="B558" s="609"/>
      <c r="C558" s="183" t="str">
        <f t="shared" si="99"/>
        <v>федеральный бюджет</v>
      </c>
      <c r="D558" s="46"/>
      <c r="E558" s="99">
        <v>0</v>
      </c>
      <c r="F558" s="99">
        <v>0</v>
      </c>
      <c r="G558" s="99">
        <v>0</v>
      </c>
      <c r="H558" s="99">
        <v>0</v>
      </c>
      <c r="I558" s="99">
        <v>0</v>
      </c>
      <c r="J558" s="99">
        <v>0</v>
      </c>
      <c r="K558" s="99">
        <v>0</v>
      </c>
      <c r="L558" s="99">
        <v>0</v>
      </c>
      <c r="M558" s="99">
        <v>0</v>
      </c>
      <c r="N558" s="5"/>
      <c r="O558" s="2"/>
      <c r="P558" s="2"/>
      <c r="Q558" s="2"/>
      <c r="R558" s="2"/>
      <c r="S558" s="2"/>
    </row>
    <row r="559" spans="1:19" s="6" customFormat="1" ht="57" customHeight="1" x14ac:dyDescent="0.25">
      <c r="A559" s="611"/>
      <c r="B559" s="609"/>
      <c r="C559" s="183" t="str">
        <f t="shared" si="99"/>
        <v>краевой бюджет</v>
      </c>
      <c r="D559" s="46"/>
      <c r="E559" s="99">
        <v>0</v>
      </c>
      <c r="F559" s="99">
        <v>0</v>
      </c>
      <c r="G559" s="99">
        <v>0</v>
      </c>
      <c r="H559" s="99">
        <v>0</v>
      </c>
      <c r="I559" s="434">
        <f>'Приложение 5'!L223</f>
        <v>3000</v>
      </c>
      <c r="J559" s="434">
        <f>'Приложение 5'!M223</f>
        <v>3000</v>
      </c>
      <c r="K559" s="434">
        <f>'Приложение 5'!N223</f>
        <v>3000</v>
      </c>
      <c r="L559" s="99">
        <v>0</v>
      </c>
      <c r="M559" s="99">
        <f>I559+J559+K559</f>
        <v>9000</v>
      </c>
      <c r="N559" s="5"/>
      <c r="O559" s="2"/>
      <c r="P559" s="2"/>
      <c r="Q559" s="2"/>
      <c r="R559" s="2"/>
      <c r="S559" s="2"/>
    </row>
    <row r="560" spans="1:19" s="6" customFormat="1" ht="57" customHeight="1" x14ac:dyDescent="0.25">
      <c r="A560" s="611"/>
      <c r="B560" s="609"/>
      <c r="C560" s="183" t="str">
        <f t="shared" si="99"/>
        <v>бюджет муниципальных образований</v>
      </c>
      <c r="D560" s="46"/>
      <c r="E560" s="99">
        <v>0</v>
      </c>
      <c r="F560" s="99">
        <v>0</v>
      </c>
      <c r="G560" s="99">
        <v>0</v>
      </c>
      <c r="H560" s="99">
        <v>0</v>
      </c>
      <c r="I560" s="100">
        <v>0</v>
      </c>
      <c r="J560" s="100">
        <v>0</v>
      </c>
      <c r="K560" s="100">
        <v>0</v>
      </c>
      <c r="L560" s="99">
        <v>0</v>
      </c>
      <c r="M560" s="99">
        <v>0</v>
      </c>
      <c r="N560" s="5"/>
      <c r="O560" s="2"/>
      <c r="P560" s="2"/>
      <c r="Q560" s="2"/>
      <c r="R560" s="2"/>
      <c r="S560" s="2"/>
    </row>
    <row r="561" spans="1:19" s="6" customFormat="1" ht="72" customHeight="1" x14ac:dyDescent="0.25">
      <c r="A561" s="611"/>
      <c r="B561" s="609"/>
      <c r="C561" s="183" t="str">
        <f t="shared" si="99"/>
        <v>государственные внебюджетные фонды Российской Федерации</v>
      </c>
      <c r="D561" s="46"/>
      <c r="E561" s="99">
        <v>0</v>
      </c>
      <c r="F561" s="99">
        <v>0</v>
      </c>
      <c r="G561" s="99">
        <v>0</v>
      </c>
      <c r="H561" s="99">
        <v>0</v>
      </c>
      <c r="I561" s="99">
        <v>0</v>
      </c>
      <c r="J561" s="99">
        <v>0</v>
      </c>
      <c r="K561" s="99">
        <v>0</v>
      </c>
      <c r="L561" s="99">
        <v>0</v>
      </c>
      <c r="M561" s="99">
        <v>0</v>
      </c>
      <c r="N561" s="5"/>
      <c r="O561" s="2"/>
      <c r="P561" s="2"/>
      <c r="Q561" s="2"/>
      <c r="R561" s="2"/>
      <c r="S561" s="2"/>
    </row>
    <row r="562" spans="1:19" s="6" customFormat="1" ht="71.25" customHeight="1" x14ac:dyDescent="0.25">
      <c r="A562" s="611"/>
      <c r="B562" s="609"/>
      <c r="C562" s="183" t="str">
        <f t="shared" si="99"/>
        <v xml:space="preserve">территориальные государственные внебюджетные фонды </v>
      </c>
      <c r="D562" s="46"/>
      <c r="E562" s="99">
        <v>0</v>
      </c>
      <c r="F562" s="99">
        <v>0</v>
      </c>
      <c r="G562" s="99">
        <v>0</v>
      </c>
      <c r="H562" s="99">
        <v>0</v>
      </c>
      <c r="I562" s="99">
        <v>0</v>
      </c>
      <c r="J562" s="99">
        <v>0</v>
      </c>
      <c r="K562" s="99">
        <v>0</v>
      </c>
      <c r="L562" s="99">
        <v>0</v>
      </c>
      <c r="M562" s="99">
        <v>0</v>
      </c>
      <c r="N562" s="5"/>
      <c r="O562" s="2"/>
      <c r="P562" s="2"/>
      <c r="Q562" s="2"/>
      <c r="R562" s="2"/>
      <c r="S562" s="2"/>
    </row>
    <row r="563" spans="1:19" s="6" customFormat="1" ht="57" customHeight="1" x14ac:dyDescent="0.25">
      <c r="A563" s="612"/>
      <c r="B563" s="610"/>
      <c r="C563" s="183" t="str">
        <f t="shared" si="99"/>
        <v>иные внебюджетные источники</v>
      </c>
      <c r="D563" s="46"/>
      <c r="E563" s="99">
        <v>0</v>
      </c>
      <c r="F563" s="99">
        <v>0</v>
      </c>
      <c r="G563" s="99">
        <v>0</v>
      </c>
      <c r="H563" s="99">
        <v>0</v>
      </c>
      <c r="I563" s="99">
        <v>0</v>
      </c>
      <c r="J563" s="99">
        <v>0</v>
      </c>
      <c r="K563" s="99">
        <v>0</v>
      </c>
      <c r="L563" s="99">
        <v>0</v>
      </c>
      <c r="M563" s="99">
        <v>0</v>
      </c>
      <c r="N563" s="5"/>
      <c r="O563" s="2"/>
      <c r="P563" s="2"/>
      <c r="Q563" s="2"/>
      <c r="R563" s="2"/>
      <c r="S563" s="2"/>
    </row>
    <row r="564" spans="1:19" s="7" customFormat="1" ht="27.95" customHeight="1" x14ac:dyDescent="0.2">
      <c r="A564" s="588" t="s">
        <v>165</v>
      </c>
      <c r="B564" s="606" t="s">
        <v>352</v>
      </c>
      <c r="C564" s="58" t="s">
        <v>27</v>
      </c>
      <c r="D564" s="46">
        <v>771</v>
      </c>
      <c r="E564" s="98">
        <f>SUM(E565:E570)</f>
        <v>299108.59999999998</v>
      </c>
      <c r="F564" s="98">
        <f t="shared" ref="F564:L564" si="100">SUM(F565:F570)</f>
        <v>346902.08</v>
      </c>
      <c r="G564" s="98">
        <f t="shared" si="100"/>
        <v>215073.07</v>
      </c>
      <c r="H564" s="98">
        <f t="shared" si="100"/>
        <v>219911.24</v>
      </c>
      <c r="I564" s="98">
        <f t="shared" si="100"/>
        <v>252628.92</v>
      </c>
      <c r="J564" s="98">
        <f t="shared" si="100"/>
        <v>252628.92</v>
      </c>
      <c r="K564" s="98">
        <f t="shared" si="100"/>
        <v>252628.92</v>
      </c>
      <c r="L564" s="98">
        <f t="shared" si="100"/>
        <v>252628.92</v>
      </c>
      <c r="M564" s="85">
        <f>SUM(E564:L564)</f>
        <v>2091510.67</v>
      </c>
      <c r="N564" s="5"/>
      <c r="O564" s="5"/>
      <c r="P564" s="5"/>
      <c r="Q564" s="5"/>
      <c r="R564" s="5"/>
      <c r="S564" s="5"/>
    </row>
    <row r="565" spans="1:19" s="7" customFormat="1" ht="42" customHeight="1" x14ac:dyDescent="0.2">
      <c r="A565" s="589"/>
      <c r="B565" s="607"/>
      <c r="C565" s="67" t="s">
        <v>93</v>
      </c>
      <c r="D565" s="46"/>
      <c r="E565" s="79">
        <v>0</v>
      </c>
      <c r="F565" s="71">
        <v>0</v>
      </c>
      <c r="G565" s="71">
        <v>0</v>
      </c>
      <c r="H565" s="71">
        <v>0</v>
      </c>
      <c r="I565" s="71">
        <v>0</v>
      </c>
      <c r="J565" s="71">
        <v>0</v>
      </c>
      <c r="K565" s="71">
        <v>0</v>
      </c>
      <c r="L565" s="71">
        <v>0</v>
      </c>
      <c r="M565" s="71">
        <v>0</v>
      </c>
      <c r="N565" s="5"/>
      <c r="O565" s="5"/>
      <c r="P565" s="5"/>
      <c r="Q565" s="5"/>
      <c r="R565" s="5"/>
      <c r="S565" s="5"/>
    </row>
    <row r="566" spans="1:19" s="7" customFormat="1" ht="27.95" customHeight="1" x14ac:dyDescent="0.2">
      <c r="A566" s="589"/>
      <c r="B566" s="607"/>
      <c r="C566" s="67" t="s">
        <v>94</v>
      </c>
      <c r="D566" s="46">
        <v>771</v>
      </c>
      <c r="E566" s="99">
        <f>'Приложение 5'!H225</f>
        <v>299108.59999999998</v>
      </c>
      <c r="F566" s="99">
        <f>'Приложение 5'!I225</f>
        <v>346902.08</v>
      </c>
      <c r="G566" s="99">
        <f>'Приложение 5'!J225</f>
        <v>215073.07</v>
      </c>
      <c r="H566" s="99">
        <f>'Приложение 5'!K224</f>
        <v>219911.24</v>
      </c>
      <c r="I566" s="99">
        <f>'Приложение 5'!L224</f>
        <v>252628.92</v>
      </c>
      <c r="J566" s="99">
        <f>'Приложение 5'!M224</f>
        <v>252628.92</v>
      </c>
      <c r="K566" s="99">
        <f>'Приложение 5'!N224</f>
        <v>252628.92</v>
      </c>
      <c r="L566" s="99">
        <f>'Приложение 5'!O224</f>
        <v>252628.92</v>
      </c>
      <c r="M566" s="99">
        <f>'Приложение 5'!P224</f>
        <v>2091510.67</v>
      </c>
      <c r="N566" s="5"/>
      <c r="O566" s="5"/>
      <c r="P566" s="5"/>
      <c r="Q566" s="5"/>
      <c r="R566" s="5"/>
      <c r="S566" s="5"/>
    </row>
    <row r="567" spans="1:19" s="7" customFormat="1" ht="57" customHeight="1" x14ac:dyDescent="0.2">
      <c r="A567" s="589"/>
      <c r="B567" s="607"/>
      <c r="C567" s="67" t="s">
        <v>95</v>
      </c>
      <c r="D567" s="46"/>
      <c r="E567" s="71">
        <v>0</v>
      </c>
      <c r="F567" s="71">
        <v>0</v>
      </c>
      <c r="G567" s="71">
        <v>0</v>
      </c>
      <c r="H567" s="71">
        <v>0</v>
      </c>
      <c r="I567" s="71">
        <v>0</v>
      </c>
      <c r="J567" s="71">
        <v>0</v>
      </c>
      <c r="K567" s="71">
        <v>0</v>
      </c>
      <c r="L567" s="71">
        <v>0</v>
      </c>
      <c r="M567" s="71">
        <v>0</v>
      </c>
      <c r="N567" s="5"/>
      <c r="O567" s="5"/>
      <c r="P567" s="5"/>
      <c r="Q567" s="5"/>
      <c r="R567" s="5"/>
      <c r="S567" s="5"/>
    </row>
    <row r="568" spans="1:19" s="7" customFormat="1" ht="83.1" customHeight="1" x14ac:dyDescent="0.2">
      <c r="A568" s="589"/>
      <c r="B568" s="607"/>
      <c r="C568" s="67" t="s">
        <v>96</v>
      </c>
      <c r="D568" s="46"/>
      <c r="E568" s="71">
        <v>0</v>
      </c>
      <c r="F568" s="71">
        <v>0</v>
      </c>
      <c r="G568" s="71">
        <v>0</v>
      </c>
      <c r="H568" s="71">
        <v>0</v>
      </c>
      <c r="I568" s="71">
        <v>0</v>
      </c>
      <c r="J568" s="71">
        <v>0</v>
      </c>
      <c r="K568" s="71">
        <v>0</v>
      </c>
      <c r="L568" s="71">
        <v>0</v>
      </c>
      <c r="M568" s="71">
        <v>0</v>
      </c>
      <c r="N568" s="5"/>
      <c r="O568" s="5"/>
      <c r="P568" s="5"/>
      <c r="Q568" s="5"/>
      <c r="R568" s="5"/>
      <c r="S568" s="5"/>
    </row>
    <row r="569" spans="1:19" s="7" customFormat="1" ht="83.1" customHeight="1" x14ac:dyDescent="0.2">
      <c r="A569" s="589"/>
      <c r="B569" s="607"/>
      <c r="C569" s="67" t="s">
        <v>97</v>
      </c>
      <c r="D569" s="46"/>
      <c r="E569" s="71">
        <v>0</v>
      </c>
      <c r="F569" s="71">
        <v>0</v>
      </c>
      <c r="G569" s="71">
        <v>0</v>
      </c>
      <c r="H569" s="71">
        <v>0</v>
      </c>
      <c r="I569" s="71">
        <v>0</v>
      </c>
      <c r="J569" s="71">
        <v>0</v>
      </c>
      <c r="K569" s="71">
        <v>0</v>
      </c>
      <c r="L569" s="71">
        <v>0</v>
      </c>
      <c r="M569" s="71">
        <v>0</v>
      </c>
      <c r="N569" s="5"/>
      <c r="O569" s="5"/>
      <c r="P569" s="5"/>
      <c r="Q569" s="5"/>
      <c r="R569" s="5"/>
      <c r="S569" s="5"/>
    </row>
    <row r="570" spans="1:19" s="7" customFormat="1" ht="57" customHeight="1" x14ac:dyDescent="0.2">
      <c r="A570" s="590"/>
      <c r="B570" s="608"/>
      <c r="C570" s="67" t="s">
        <v>98</v>
      </c>
      <c r="D570" s="46"/>
      <c r="E570" s="71">
        <v>0</v>
      </c>
      <c r="F570" s="71">
        <v>0</v>
      </c>
      <c r="G570" s="71">
        <v>0</v>
      </c>
      <c r="H570" s="71">
        <v>0</v>
      </c>
      <c r="I570" s="71">
        <v>0</v>
      </c>
      <c r="J570" s="71">
        <v>0</v>
      </c>
      <c r="K570" s="71">
        <v>0</v>
      </c>
      <c r="L570" s="71">
        <v>0</v>
      </c>
      <c r="M570" s="71">
        <v>0</v>
      </c>
      <c r="N570" s="5"/>
      <c r="O570" s="5"/>
      <c r="P570" s="5"/>
      <c r="Q570" s="5"/>
      <c r="R570" s="5"/>
      <c r="S570" s="5"/>
    </row>
    <row r="571" spans="1:19" s="21" customFormat="1" ht="27.95" customHeight="1" x14ac:dyDescent="0.25">
      <c r="A571" s="588" t="s">
        <v>231</v>
      </c>
      <c r="B571" s="591" t="s">
        <v>393</v>
      </c>
      <c r="C571" s="58" t="s">
        <v>27</v>
      </c>
      <c r="D571" s="46">
        <v>771</v>
      </c>
      <c r="E571" s="98">
        <f>SUM(E572:E577)</f>
        <v>281511.33</v>
      </c>
      <c r="F571" s="98">
        <f t="shared" ref="F571:L571" si="101">SUM(F572:F577)</f>
        <v>322585.7</v>
      </c>
      <c r="G571" s="98">
        <f t="shared" si="101"/>
        <v>151467.28</v>
      </c>
      <c r="H571" s="98">
        <f t="shared" si="101"/>
        <v>157617.16</v>
      </c>
      <c r="I571" s="98">
        <f t="shared" si="101"/>
        <v>180044.71</v>
      </c>
      <c r="J571" s="98">
        <f t="shared" si="101"/>
        <v>180044.71</v>
      </c>
      <c r="K571" s="98">
        <f t="shared" si="101"/>
        <v>180044.71</v>
      </c>
      <c r="L571" s="98">
        <f t="shared" si="101"/>
        <v>180044.71</v>
      </c>
      <c r="M571" s="98">
        <f>SUM(E571:L571)</f>
        <v>1633360.31</v>
      </c>
      <c r="N571" s="5"/>
      <c r="O571" s="2"/>
      <c r="P571" s="2"/>
      <c r="Q571" s="2"/>
      <c r="R571" s="2"/>
      <c r="S571" s="2"/>
    </row>
    <row r="572" spans="1:19" s="21" customFormat="1" ht="42" customHeight="1" x14ac:dyDescent="0.25">
      <c r="A572" s="589"/>
      <c r="B572" s="592"/>
      <c r="C572" s="67" t="s">
        <v>93</v>
      </c>
      <c r="D572" s="46"/>
      <c r="E572" s="79">
        <v>0</v>
      </c>
      <c r="F572" s="99">
        <v>0</v>
      </c>
      <c r="G572" s="99">
        <v>0</v>
      </c>
      <c r="H572" s="99">
        <v>0</v>
      </c>
      <c r="I572" s="99">
        <v>0</v>
      </c>
      <c r="J572" s="99">
        <v>0</v>
      </c>
      <c r="K572" s="99">
        <v>0</v>
      </c>
      <c r="L572" s="99">
        <v>0</v>
      </c>
      <c r="M572" s="99">
        <v>0</v>
      </c>
      <c r="N572" s="5"/>
      <c r="O572" s="2"/>
      <c r="P572" s="2"/>
      <c r="Q572" s="2"/>
      <c r="R572" s="2"/>
      <c r="S572" s="2"/>
    </row>
    <row r="573" spans="1:19" s="21" customFormat="1" ht="27.95" customHeight="1" x14ac:dyDescent="0.25">
      <c r="A573" s="589"/>
      <c r="B573" s="592"/>
      <c r="C573" s="67" t="s">
        <v>94</v>
      </c>
      <c r="D573" s="46">
        <v>771</v>
      </c>
      <c r="E573" s="99">
        <f>'Приложение 5'!H227</f>
        <v>281511.33</v>
      </c>
      <c r="F573" s="99">
        <f>'Приложение 5'!I227</f>
        <v>322585.7</v>
      </c>
      <c r="G573" s="99">
        <f>'Приложение 5'!J227</f>
        <v>151467.28</v>
      </c>
      <c r="H573" s="99">
        <f>'Приложение 5'!K227</f>
        <v>157617.16</v>
      </c>
      <c r="I573" s="99">
        <f>'Приложение 5'!L227</f>
        <v>180044.71</v>
      </c>
      <c r="J573" s="99">
        <f>'Приложение 5'!M227</f>
        <v>180044.71</v>
      </c>
      <c r="K573" s="99">
        <f>'Приложение 5'!N227</f>
        <v>180044.71</v>
      </c>
      <c r="L573" s="99">
        <f>'Приложение 5'!O227</f>
        <v>180044.71</v>
      </c>
      <c r="M573" s="99">
        <f>'Приложение 5'!P227</f>
        <v>1633360.31</v>
      </c>
      <c r="N573" s="5"/>
      <c r="O573" s="2"/>
      <c r="P573" s="2"/>
      <c r="Q573" s="2"/>
      <c r="R573" s="2"/>
      <c r="S573" s="2"/>
    </row>
    <row r="574" spans="1:19" s="21" customFormat="1" ht="65.25" customHeight="1" x14ac:dyDescent="0.25">
      <c r="A574" s="589"/>
      <c r="B574" s="592"/>
      <c r="C574" s="67" t="s">
        <v>95</v>
      </c>
      <c r="D574" s="46"/>
      <c r="E574" s="99">
        <v>0</v>
      </c>
      <c r="F574" s="99">
        <v>0</v>
      </c>
      <c r="G574" s="99">
        <v>0</v>
      </c>
      <c r="H574" s="99">
        <v>0</v>
      </c>
      <c r="I574" s="99">
        <v>0</v>
      </c>
      <c r="J574" s="99">
        <v>0</v>
      </c>
      <c r="K574" s="99">
        <v>0</v>
      </c>
      <c r="L574" s="99">
        <v>0</v>
      </c>
      <c r="M574" s="99">
        <v>0</v>
      </c>
      <c r="N574" s="5"/>
      <c r="O574" s="2"/>
      <c r="P574" s="2"/>
      <c r="Q574" s="2"/>
      <c r="R574" s="2"/>
      <c r="S574" s="2"/>
    </row>
    <row r="575" spans="1:19" s="21" customFormat="1" ht="89.25" customHeight="1" x14ac:dyDescent="0.25">
      <c r="A575" s="589"/>
      <c r="B575" s="592"/>
      <c r="C575" s="67" t="s">
        <v>96</v>
      </c>
      <c r="D575" s="46"/>
      <c r="E575" s="99">
        <v>0</v>
      </c>
      <c r="F575" s="99">
        <v>0</v>
      </c>
      <c r="G575" s="99">
        <v>0</v>
      </c>
      <c r="H575" s="99">
        <v>0</v>
      </c>
      <c r="I575" s="99">
        <v>0</v>
      </c>
      <c r="J575" s="99">
        <v>0</v>
      </c>
      <c r="K575" s="99">
        <v>0</v>
      </c>
      <c r="L575" s="99">
        <v>0</v>
      </c>
      <c r="M575" s="99">
        <v>0</v>
      </c>
      <c r="N575" s="5"/>
      <c r="O575" s="2"/>
      <c r="P575" s="2"/>
      <c r="Q575" s="2"/>
      <c r="R575" s="2"/>
      <c r="S575" s="2"/>
    </row>
    <row r="576" spans="1:19" s="21" customFormat="1" ht="83.1" customHeight="1" x14ac:dyDescent="0.25">
      <c r="A576" s="589"/>
      <c r="B576" s="592"/>
      <c r="C576" s="67" t="s">
        <v>97</v>
      </c>
      <c r="D576" s="46"/>
      <c r="E576" s="99">
        <v>0</v>
      </c>
      <c r="F576" s="99">
        <v>0</v>
      </c>
      <c r="G576" s="99">
        <v>0</v>
      </c>
      <c r="H576" s="99">
        <v>0</v>
      </c>
      <c r="I576" s="99">
        <v>0</v>
      </c>
      <c r="J576" s="99">
        <v>0</v>
      </c>
      <c r="K576" s="99">
        <v>0</v>
      </c>
      <c r="L576" s="99">
        <v>0</v>
      </c>
      <c r="M576" s="99">
        <v>0</v>
      </c>
      <c r="N576" s="5"/>
      <c r="O576" s="2"/>
      <c r="P576" s="2"/>
      <c r="Q576" s="2"/>
      <c r="R576" s="2"/>
      <c r="S576" s="2"/>
    </row>
    <row r="577" spans="1:19" s="21" customFormat="1" ht="57" customHeight="1" x14ac:dyDescent="0.25">
      <c r="A577" s="590"/>
      <c r="B577" s="593"/>
      <c r="C577" s="67" t="s">
        <v>98</v>
      </c>
      <c r="D577" s="46"/>
      <c r="E577" s="99">
        <v>0</v>
      </c>
      <c r="F577" s="99">
        <v>0</v>
      </c>
      <c r="G577" s="99">
        <v>0</v>
      </c>
      <c r="H577" s="99">
        <v>0</v>
      </c>
      <c r="I577" s="99">
        <v>0</v>
      </c>
      <c r="J577" s="99">
        <v>0</v>
      </c>
      <c r="K577" s="99">
        <v>0</v>
      </c>
      <c r="L577" s="99">
        <v>0</v>
      </c>
      <c r="M577" s="99">
        <v>0</v>
      </c>
      <c r="N577" s="5"/>
      <c r="O577" s="2"/>
      <c r="P577" s="2"/>
      <c r="Q577" s="2"/>
      <c r="R577" s="2"/>
      <c r="S577" s="2"/>
    </row>
    <row r="578" spans="1:19" s="21" customFormat="1" ht="33" customHeight="1" x14ac:dyDescent="0.25">
      <c r="A578" s="588" t="s">
        <v>232</v>
      </c>
      <c r="B578" s="591" t="s">
        <v>143</v>
      </c>
      <c r="C578" s="58" t="s">
        <v>27</v>
      </c>
      <c r="D578" s="46">
        <v>771</v>
      </c>
      <c r="E578" s="98">
        <f>SUM(E579:E584)</f>
        <v>190596.53</v>
      </c>
      <c r="F578" s="98">
        <f t="shared" ref="F578:L578" si="102">SUM(F579:F584)</f>
        <v>133190.9</v>
      </c>
      <c r="G578" s="98">
        <f t="shared" si="102"/>
        <v>129696.28</v>
      </c>
      <c r="H578" s="98">
        <f t="shared" si="102"/>
        <v>138617.16</v>
      </c>
      <c r="I578" s="98">
        <f t="shared" si="102"/>
        <v>158273.71</v>
      </c>
      <c r="J578" s="98">
        <f t="shared" si="102"/>
        <v>158273.71</v>
      </c>
      <c r="K578" s="98">
        <f t="shared" si="102"/>
        <v>158273.71</v>
      </c>
      <c r="L578" s="98">
        <f t="shared" si="102"/>
        <v>0</v>
      </c>
      <c r="M578" s="98">
        <f>SUM(E578:L578)</f>
        <v>1066922</v>
      </c>
      <c r="N578" s="5"/>
      <c r="O578" s="2"/>
      <c r="P578" s="2"/>
      <c r="Q578" s="2"/>
      <c r="R578" s="2"/>
      <c r="S578" s="2"/>
    </row>
    <row r="579" spans="1:19" s="21" customFormat="1" ht="48.75" customHeight="1" x14ac:dyDescent="0.25">
      <c r="A579" s="589"/>
      <c r="B579" s="592"/>
      <c r="C579" s="67" t="s">
        <v>93</v>
      </c>
      <c r="D579" s="46"/>
      <c r="E579" s="79">
        <v>0</v>
      </c>
      <c r="F579" s="99">
        <v>0</v>
      </c>
      <c r="G579" s="99">
        <v>0</v>
      </c>
      <c r="H579" s="99">
        <v>0</v>
      </c>
      <c r="I579" s="99">
        <v>0</v>
      </c>
      <c r="J579" s="99">
        <v>0</v>
      </c>
      <c r="K579" s="99">
        <v>0</v>
      </c>
      <c r="L579" s="99">
        <v>0</v>
      </c>
      <c r="M579" s="99">
        <v>0</v>
      </c>
      <c r="N579" s="5"/>
      <c r="O579" s="2"/>
      <c r="P579" s="2"/>
      <c r="Q579" s="2"/>
      <c r="R579" s="2"/>
      <c r="S579" s="2"/>
    </row>
    <row r="580" spans="1:19" s="21" customFormat="1" ht="27.95" customHeight="1" x14ac:dyDescent="0.25">
      <c r="A580" s="589"/>
      <c r="B580" s="592"/>
      <c r="C580" s="67" t="s">
        <v>94</v>
      </c>
      <c r="D580" s="46">
        <v>771</v>
      </c>
      <c r="E580" s="99">
        <f>'Приложение 5'!H228</f>
        <v>190596.53</v>
      </c>
      <c r="F580" s="99">
        <f>'Приложение 5'!I229</f>
        <v>133190.9</v>
      </c>
      <c r="G580" s="99">
        <f>'Приложение 5'!J229</f>
        <v>129696.28</v>
      </c>
      <c r="H580" s="99">
        <f>'Приложение 5'!K230</f>
        <v>138617.16</v>
      </c>
      <c r="I580" s="99">
        <f>'Приложение 5'!L231</f>
        <v>158273.71</v>
      </c>
      <c r="J580" s="99">
        <f>'Приложение 5'!M231</f>
        <v>158273.71</v>
      </c>
      <c r="K580" s="99">
        <f>'Приложение 5'!N231</f>
        <v>158273.71</v>
      </c>
      <c r="L580" s="99">
        <f>'Приложение 5'!O230</f>
        <v>0</v>
      </c>
      <c r="M580" s="99">
        <f>'Приложение 5'!P228</f>
        <v>1225195.71</v>
      </c>
      <c r="N580" s="5"/>
      <c r="O580" s="2"/>
      <c r="P580" s="2"/>
      <c r="Q580" s="2"/>
      <c r="R580" s="2"/>
      <c r="S580" s="2"/>
    </row>
    <row r="581" spans="1:19" s="21" customFormat="1" ht="60" customHeight="1" x14ac:dyDescent="0.25">
      <c r="A581" s="589"/>
      <c r="B581" s="592"/>
      <c r="C581" s="67" t="s">
        <v>95</v>
      </c>
      <c r="D581" s="46"/>
      <c r="E581" s="99">
        <v>0</v>
      </c>
      <c r="F581" s="99">
        <v>0</v>
      </c>
      <c r="G581" s="99">
        <v>0</v>
      </c>
      <c r="H581" s="99">
        <v>0</v>
      </c>
      <c r="I581" s="99">
        <v>0</v>
      </c>
      <c r="J581" s="99">
        <v>0</v>
      </c>
      <c r="K581" s="99">
        <v>0</v>
      </c>
      <c r="L581" s="99">
        <v>0</v>
      </c>
      <c r="M581" s="99">
        <v>0</v>
      </c>
      <c r="N581" s="5"/>
      <c r="O581" s="2"/>
      <c r="P581" s="2"/>
      <c r="Q581" s="2"/>
      <c r="R581" s="2"/>
      <c r="S581" s="2"/>
    </row>
    <row r="582" spans="1:19" s="6" customFormat="1" ht="75.75" customHeight="1" x14ac:dyDescent="0.25">
      <c r="A582" s="589"/>
      <c r="B582" s="592"/>
      <c r="C582" s="67" t="s">
        <v>96</v>
      </c>
      <c r="D582" s="46"/>
      <c r="E582" s="99">
        <v>0</v>
      </c>
      <c r="F582" s="99">
        <v>0</v>
      </c>
      <c r="G582" s="99">
        <v>0</v>
      </c>
      <c r="H582" s="99">
        <v>0</v>
      </c>
      <c r="I582" s="99">
        <v>0</v>
      </c>
      <c r="J582" s="99">
        <v>0</v>
      </c>
      <c r="K582" s="99">
        <v>0</v>
      </c>
      <c r="L582" s="99">
        <v>0</v>
      </c>
      <c r="M582" s="99">
        <v>0</v>
      </c>
      <c r="N582" s="5"/>
      <c r="O582" s="2"/>
      <c r="P582" s="2"/>
      <c r="Q582" s="2"/>
      <c r="R582" s="2"/>
      <c r="S582" s="2"/>
    </row>
    <row r="583" spans="1:19" s="6" customFormat="1" ht="75.75" customHeight="1" x14ac:dyDescent="0.25">
      <c r="A583" s="589"/>
      <c r="B583" s="592"/>
      <c r="C583" s="67" t="s">
        <v>97</v>
      </c>
      <c r="D583" s="46"/>
      <c r="E583" s="99">
        <v>0</v>
      </c>
      <c r="F583" s="99">
        <v>0</v>
      </c>
      <c r="G583" s="99">
        <v>0</v>
      </c>
      <c r="H583" s="99">
        <v>0</v>
      </c>
      <c r="I583" s="99">
        <v>0</v>
      </c>
      <c r="J583" s="99">
        <v>0</v>
      </c>
      <c r="K583" s="99">
        <v>0</v>
      </c>
      <c r="L583" s="99">
        <v>0</v>
      </c>
      <c r="M583" s="99">
        <v>0</v>
      </c>
      <c r="N583" s="5"/>
      <c r="O583" s="2"/>
      <c r="P583" s="2"/>
      <c r="Q583" s="2"/>
      <c r="R583" s="2"/>
      <c r="S583" s="2"/>
    </row>
    <row r="584" spans="1:19" s="6" customFormat="1" ht="57" customHeight="1" x14ac:dyDescent="0.25">
      <c r="A584" s="590"/>
      <c r="B584" s="593"/>
      <c r="C584" s="67" t="s">
        <v>98</v>
      </c>
      <c r="D584" s="46"/>
      <c r="E584" s="99">
        <v>0</v>
      </c>
      <c r="F584" s="99">
        <v>0</v>
      </c>
      <c r="G584" s="99">
        <v>0</v>
      </c>
      <c r="H584" s="99">
        <v>0</v>
      </c>
      <c r="I584" s="99">
        <v>0</v>
      </c>
      <c r="J584" s="99">
        <v>0</v>
      </c>
      <c r="K584" s="99">
        <v>0</v>
      </c>
      <c r="L584" s="99">
        <v>0</v>
      </c>
      <c r="M584" s="99">
        <v>0</v>
      </c>
      <c r="N584" s="5"/>
      <c r="O584" s="2"/>
      <c r="P584" s="2"/>
      <c r="Q584" s="2"/>
      <c r="R584" s="2"/>
      <c r="S584" s="2"/>
    </row>
    <row r="585" spans="1:19" s="6" customFormat="1" ht="32.25" customHeight="1" x14ac:dyDescent="0.25">
      <c r="A585" s="588" t="s">
        <v>233</v>
      </c>
      <c r="B585" s="591" t="s">
        <v>394</v>
      </c>
      <c r="C585" s="58" t="s">
        <v>27</v>
      </c>
      <c r="D585" s="46">
        <v>771</v>
      </c>
      <c r="E585" s="98">
        <f>SUM(E586:E591)</f>
        <v>90914.8</v>
      </c>
      <c r="F585" s="98">
        <f t="shared" ref="F585:H585" si="103">SUM(F586:F591)</f>
        <v>189394.8</v>
      </c>
      <c r="G585" s="98">
        <f t="shared" si="103"/>
        <v>21771</v>
      </c>
      <c r="H585" s="98">
        <f t="shared" si="103"/>
        <v>19000</v>
      </c>
      <c r="I585" s="98">
        <f>'Приложение 5'!L235</f>
        <v>21771</v>
      </c>
      <c r="J585" s="98">
        <f>'Приложение 5'!M235</f>
        <v>21771</v>
      </c>
      <c r="K585" s="98">
        <f>'Приложение 5'!N235</f>
        <v>21771</v>
      </c>
      <c r="L585" s="98">
        <f>'Приложение 5'!$O$235</f>
        <v>21771</v>
      </c>
      <c r="M585" s="98">
        <f>SUM(E585:L585)</f>
        <v>408164.6</v>
      </c>
      <c r="N585" s="5"/>
      <c r="O585" s="2"/>
      <c r="P585" s="2"/>
      <c r="Q585" s="2"/>
      <c r="R585" s="2"/>
      <c r="S585" s="2"/>
    </row>
    <row r="586" spans="1:19" s="6" customFormat="1" ht="45.75" customHeight="1" x14ac:dyDescent="0.25">
      <c r="A586" s="589"/>
      <c r="B586" s="592"/>
      <c r="C586" s="67" t="s">
        <v>93</v>
      </c>
      <c r="D586" s="46"/>
      <c r="E586" s="79">
        <v>0</v>
      </c>
      <c r="F586" s="99">
        <v>0</v>
      </c>
      <c r="G586" s="99">
        <v>0</v>
      </c>
      <c r="H586" s="99">
        <v>0</v>
      </c>
      <c r="I586" s="99">
        <v>0</v>
      </c>
      <c r="J586" s="99">
        <v>0</v>
      </c>
      <c r="K586" s="99">
        <v>0</v>
      </c>
      <c r="L586" s="99">
        <v>0</v>
      </c>
      <c r="M586" s="99">
        <v>0</v>
      </c>
      <c r="N586" s="5"/>
      <c r="O586" s="2"/>
      <c r="P586" s="2"/>
      <c r="Q586" s="2"/>
      <c r="R586" s="2"/>
      <c r="S586" s="2"/>
    </row>
    <row r="587" spans="1:19" s="6" customFormat="1" ht="30.75" customHeight="1" thickBot="1" x14ac:dyDescent="0.3">
      <c r="A587" s="589"/>
      <c r="B587" s="592"/>
      <c r="C587" s="67" t="s">
        <v>94</v>
      </c>
      <c r="D587" s="46">
        <v>771</v>
      </c>
      <c r="E587" s="99">
        <f>'Приложение 5'!H232</f>
        <v>90914.8</v>
      </c>
      <c r="F587" s="99">
        <f>'Приложение 5'!I233</f>
        <v>189394.8</v>
      </c>
      <c r="G587" s="99">
        <f>'Приложение 5'!J233</f>
        <v>21771</v>
      </c>
      <c r="H587" s="99">
        <f>'Приложение 5'!K234</f>
        <v>19000</v>
      </c>
      <c r="I587" s="130">
        <f>'Приложение 5'!L235</f>
        <v>21771</v>
      </c>
      <c r="J587" s="49">
        <f>'Приложение 5'!M235</f>
        <v>21771</v>
      </c>
      <c r="K587" s="49">
        <f>'Приложение 5'!N235</f>
        <v>21771</v>
      </c>
      <c r="L587" s="49">
        <f>'Приложение 5'!O235</f>
        <v>21771</v>
      </c>
      <c r="M587" s="99">
        <f>'Приложение 5'!P232</f>
        <v>408164.6</v>
      </c>
      <c r="N587" s="5"/>
      <c r="O587" s="2"/>
      <c r="P587" s="2"/>
      <c r="Q587" s="2"/>
      <c r="R587" s="2"/>
      <c r="S587" s="2"/>
    </row>
    <row r="588" spans="1:19" s="6" customFormat="1" ht="60" customHeight="1" x14ac:dyDescent="0.25">
      <c r="A588" s="589"/>
      <c r="B588" s="592"/>
      <c r="C588" s="67" t="s">
        <v>95</v>
      </c>
      <c r="D588" s="46"/>
      <c r="E588" s="99">
        <v>0</v>
      </c>
      <c r="F588" s="99">
        <v>0</v>
      </c>
      <c r="G588" s="99">
        <v>0</v>
      </c>
      <c r="H588" s="99">
        <v>0</v>
      </c>
      <c r="I588" s="99">
        <v>0</v>
      </c>
      <c r="J588" s="99">
        <v>0</v>
      </c>
      <c r="K588" s="99">
        <v>0</v>
      </c>
      <c r="L588" s="99">
        <v>0</v>
      </c>
      <c r="M588" s="99">
        <v>0</v>
      </c>
      <c r="N588" s="5"/>
      <c r="O588" s="2"/>
      <c r="P588" s="2"/>
      <c r="Q588" s="2"/>
      <c r="R588" s="2"/>
      <c r="S588" s="2"/>
    </row>
    <row r="589" spans="1:19" s="6" customFormat="1" ht="81.75" customHeight="1" x14ac:dyDescent="0.25">
      <c r="A589" s="589"/>
      <c r="B589" s="592"/>
      <c r="C589" s="67" t="s">
        <v>96</v>
      </c>
      <c r="D589" s="46"/>
      <c r="E589" s="99">
        <v>0</v>
      </c>
      <c r="F589" s="99">
        <v>0</v>
      </c>
      <c r="G589" s="99">
        <v>0</v>
      </c>
      <c r="H589" s="99">
        <v>0</v>
      </c>
      <c r="I589" s="99">
        <v>0</v>
      </c>
      <c r="J589" s="99">
        <v>0</v>
      </c>
      <c r="K589" s="99">
        <v>0</v>
      </c>
      <c r="L589" s="99">
        <v>0</v>
      </c>
      <c r="M589" s="99">
        <v>0</v>
      </c>
      <c r="N589" s="5"/>
      <c r="O589" s="2"/>
      <c r="P589" s="2"/>
      <c r="Q589" s="2"/>
      <c r="R589" s="2"/>
      <c r="S589" s="2"/>
    </row>
    <row r="590" spans="1:19" s="6" customFormat="1" ht="83.1" customHeight="1" x14ac:dyDescent="0.25">
      <c r="A590" s="589"/>
      <c r="B590" s="592"/>
      <c r="C590" s="67" t="s">
        <v>97</v>
      </c>
      <c r="D590" s="46"/>
      <c r="E590" s="99">
        <v>0</v>
      </c>
      <c r="F590" s="99">
        <v>0</v>
      </c>
      <c r="G590" s="99">
        <v>0</v>
      </c>
      <c r="H590" s="99">
        <v>0</v>
      </c>
      <c r="I590" s="99">
        <v>0</v>
      </c>
      <c r="J590" s="99">
        <v>0</v>
      </c>
      <c r="K590" s="99">
        <v>0</v>
      </c>
      <c r="L590" s="99">
        <v>0</v>
      </c>
      <c r="M590" s="99">
        <v>0</v>
      </c>
      <c r="N590" s="5"/>
      <c r="O590" s="2"/>
      <c r="P590" s="2"/>
      <c r="Q590" s="2"/>
      <c r="R590" s="2"/>
      <c r="S590" s="2"/>
    </row>
    <row r="591" spans="1:19" s="6" customFormat="1" ht="57" customHeight="1" x14ac:dyDescent="0.25">
      <c r="A591" s="590"/>
      <c r="B591" s="593"/>
      <c r="C591" s="67" t="s">
        <v>98</v>
      </c>
      <c r="D591" s="46"/>
      <c r="E591" s="99">
        <v>0</v>
      </c>
      <c r="F591" s="99">
        <v>0</v>
      </c>
      <c r="G591" s="99">
        <v>0</v>
      </c>
      <c r="H591" s="99">
        <v>0</v>
      </c>
      <c r="I591" s="99">
        <v>0</v>
      </c>
      <c r="J591" s="99">
        <v>0</v>
      </c>
      <c r="K591" s="99">
        <v>0</v>
      </c>
      <c r="L591" s="99">
        <v>0</v>
      </c>
      <c r="M591" s="99">
        <v>0</v>
      </c>
      <c r="N591" s="5"/>
      <c r="O591" s="2"/>
      <c r="P591" s="2"/>
      <c r="Q591" s="2"/>
      <c r="R591" s="2"/>
      <c r="S591" s="2"/>
    </row>
    <row r="592" spans="1:19" s="6" customFormat="1" ht="27.95" customHeight="1" x14ac:dyDescent="0.25">
      <c r="A592" s="588" t="s">
        <v>234</v>
      </c>
      <c r="B592" s="591" t="s">
        <v>353</v>
      </c>
      <c r="C592" s="58" t="s">
        <v>27</v>
      </c>
      <c r="D592" s="46">
        <v>771</v>
      </c>
      <c r="E592" s="98">
        <f>SUM(E593:E598)</f>
        <v>0</v>
      </c>
      <c r="F592" s="98">
        <f t="shared" ref="F592:L592" si="104">SUM(F593:F598)</f>
        <v>0</v>
      </c>
      <c r="G592" s="98">
        <f t="shared" si="104"/>
        <v>0</v>
      </c>
      <c r="H592" s="98">
        <f t="shared" si="104"/>
        <v>20443.64</v>
      </c>
      <c r="I592" s="98">
        <f t="shared" si="104"/>
        <v>21059.95</v>
      </c>
      <c r="J592" s="98">
        <f t="shared" si="104"/>
        <v>21059.95</v>
      </c>
      <c r="K592" s="98">
        <f t="shared" si="104"/>
        <v>21059.95</v>
      </c>
      <c r="L592" s="98">
        <f t="shared" si="104"/>
        <v>21059.95</v>
      </c>
      <c r="M592" s="98">
        <f>SUM(E592:L592)</f>
        <v>104683.44</v>
      </c>
      <c r="N592" s="5"/>
      <c r="O592" s="2"/>
      <c r="P592" s="2"/>
      <c r="Q592" s="2"/>
      <c r="R592" s="2"/>
      <c r="S592" s="2"/>
    </row>
    <row r="593" spans="1:19" s="6" customFormat="1" ht="42" customHeight="1" x14ac:dyDescent="0.25">
      <c r="A593" s="589"/>
      <c r="B593" s="592"/>
      <c r="C593" s="67" t="s">
        <v>93</v>
      </c>
      <c r="D593" s="46"/>
      <c r="E593" s="79">
        <v>0</v>
      </c>
      <c r="F593" s="99">
        <v>0</v>
      </c>
      <c r="G593" s="99">
        <v>0</v>
      </c>
      <c r="H593" s="99">
        <v>0</v>
      </c>
      <c r="I593" s="99">
        <v>0</v>
      </c>
      <c r="J593" s="99">
        <v>0</v>
      </c>
      <c r="K593" s="99">
        <v>0</v>
      </c>
      <c r="L593" s="99">
        <v>0</v>
      </c>
      <c r="M593" s="99">
        <v>0</v>
      </c>
      <c r="N593" s="5"/>
      <c r="O593" s="2"/>
      <c r="P593" s="2"/>
      <c r="Q593" s="2"/>
      <c r="R593" s="2"/>
      <c r="S593" s="2"/>
    </row>
    <row r="594" spans="1:19" s="6" customFormat="1" ht="27.95" customHeight="1" x14ac:dyDescent="0.25">
      <c r="A594" s="589"/>
      <c r="B594" s="592"/>
      <c r="C594" s="67" t="s">
        <v>94</v>
      </c>
      <c r="D594" s="46">
        <v>771</v>
      </c>
      <c r="E594" s="99">
        <f>'Приложение 5'!H236+'Приложение 5'!H237+'Приложение 5'!H238+'Приложение 5'!H239</f>
        <v>0</v>
      </c>
      <c r="F594" s="99">
        <f>'Приложение 5'!I236+'Приложение 5'!I237+'Приложение 5'!I238+'Приложение 5'!I239</f>
        <v>0</v>
      </c>
      <c r="G594" s="99">
        <f>'Приложение 5'!J236+'Приложение 5'!J237+'Приложение 5'!J238+'Приложение 5'!J239</f>
        <v>0</v>
      </c>
      <c r="H594" s="99">
        <f>'Приложение 5'!K236+'Приложение 5'!K238+'Приложение 5'!K240+'Приложение 5'!K242</f>
        <v>20443.64</v>
      </c>
      <c r="I594" s="99">
        <f>'Приложение 5'!L237+'Приложение 5'!L239+'Приложение 5'!L241+'Приложение 5'!L243</f>
        <v>21059.95</v>
      </c>
      <c r="J594" s="99">
        <f>'Приложение 5'!M237+'Приложение 5'!M239+'Приложение 5'!M241+'Приложение 5'!M243</f>
        <v>21059.95</v>
      </c>
      <c r="K594" s="99">
        <f>'Приложение 5'!N237+'Приложение 5'!N239+'Приложение 5'!N241+'Приложение 5'!N243</f>
        <v>21059.95</v>
      </c>
      <c r="L594" s="99">
        <f>'Приложение 5'!O237+'Приложение 5'!O239+'Приложение 5'!O241+'Приложение 5'!O243</f>
        <v>21059.95</v>
      </c>
      <c r="M594" s="99">
        <f>L594+K594+J594+I594+H594+G594+F594+E594</f>
        <v>104683.44</v>
      </c>
      <c r="N594" s="5"/>
      <c r="O594" s="2"/>
      <c r="P594" s="2"/>
      <c r="Q594" s="2"/>
      <c r="R594" s="2"/>
      <c r="S594" s="2"/>
    </row>
    <row r="595" spans="1:19" s="6" customFormat="1" ht="57" customHeight="1" x14ac:dyDescent="0.25">
      <c r="A595" s="589"/>
      <c r="B595" s="592"/>
      <c r="C595" s="67" t="s">
        <v>95</v>
      </c>
      <c r="D595" s="46"/>
      <c r="E595" s="99">
        <v>0</v>
      </c>
      <c r="F595" s="99">
        <v>0</v>
      </c>
      <c r="G595" s="99">
        <v>0</v>
      </c>
      <c r="H595" s="99">
        <v>0</v>
      </c>
      <c r="I595" s="99">
        <v>0</v>
      </c>
      <c r="J595" s="99">
        <v>0</v>
      </c>
      <c r="K595" s="99">
        <v>0</v>
      </c>
      <c r="L595" s="99">
        <v>0</v>
      </c>
      <c r="M595" s="99">
        <f>SUM(E595:L595)</f>
        <v>0</v>
      </c>
      <c r="N595" s="5"/>
      <c r="O595" s="2"/>
      <c r="P595" s="2"/>
      <c r="Q595" s="2"/>
      <c r="R595" s="2"/>
      <c r="S595" s="2"/>
    </row>
    <row r="596" spans="1:19" s="6" customFormat="1" ht="83.1" customHeight="1" x14ac:dyDescent="0.25">
      <c r="A596" s="589"/>
      <c r="B596" s="592"/>
      <c r="C596" s="67" t="s">
        <v>96</v>
      </c>
      <c r="D596" s="46"/>
      <c r="E596" s="99">
        <v>0</v>
      </c>
      <c r="F596" s="99">
        <v>0</v>
      </c>
      <c r="G596" s="99">
        <v>0</v>
      </c>
      <c r="H596" s="99">
        <v>0</v>
      </c>
      <c r="I596" s="99">
        <v>0</v>
      </c>
      <c r="J596" s="99">
        <v>0</v>
      </c>
      <c r="K596" s="99">
        <v>0</v>
      </c>
      <c r="L596" s="99">
        <v>0</v>
      </c>
      <c r="M596" s="99">
        <f>SUM(E596:L596)</f>
        <v>0</v>
      </c>
      <c r="N596" s="5"/>
      <c r="O596" s="2"/>
      <c r="P596" s="2"/>
      <c r="Q596" s="2"/>
      <c r="R596" s="2"/>
      <c r="S596" s="2"/>
    </row>
    <row r="597" spans="1:19" s="6" customFormat="1" ht="83.1" customHeight="1" x14ac:dyDescent="0.25">
      <c r="A597" s="589"/>
      <c r="B597" s="592"/>
      <c r="C597" s="67" t="s">
        <v>97</v>
      </c>
      <c r="D597" s="46"/>
      <c r="E597" s="99">
        <v>0</v>
      </c>
      <c r="F597" s="99">
        <v>0</v>
      </c>
      <c r="G597" s="99">
        <v>0</v>
      </c>
      <c r="H597" s="99">
        <v>0</v>
      </c>
      <c r="I597" s="99">
        <v>0</v>
      </c>
      <c r="J597" s="99">
        <v>0</v>
      </c>
      <c r="K597" s="99">
        <v>0</v>
      </c>
      <c r="L597" s="99">
        <v>0</v>
      </c>
      <c r="M597" s="99">
        <f>SUM(E597:L597)</f>
        <v>0</v>
      </c>
      <c r="N597" s="5"/>
      <c r="O597" s="2"/>
      <c r="P597" s="2"/>
      <c r="Q597" s="2"/>
      <c r="R597" s="2"/>
      <c r="S597" s="2"/>
    </row>
    <row r="598" spans="1:19" s="21" customFormat="1" ht="57" customHeight="1" x14ac:dyDescent="0.25">
      <c r="A598" s="590"/>
      <c r="B598" s="593"/>
      <c r="C598" s="67" t="s">
        <v>98</v>
      </c>
      <c r="D598" s="46"/>
      <c r="E598" s="99">
        <v>0</v>
      </c>
      <c r="F598" s="99">
        <v>0</v>
      </c>
      <c r="G598" s="99">
        <v>0</v>
      </c>
      <c r="H598" s="99">
        <v>0</v>
      </c>
      <c r="I598" s="99">
        <v>0</v>
      </c>
      <c r="J598" s="99">
        <v>0</v>
      </c>
      <c r="K598" s="99">
        <v>0</v>
      </c>
      <c r="L598" s="99">
        <v>0</v>
      </c>
      <c r="M598" s="99">
        <f>SUM(E598:L598)</f>
        <v>0</v>
      </c>
      <c r="N598" s="5"/>
      <c r="O598" s="2"/>
      <c r="P598" s="2"/>
      <c r="Q598" s="2"/>
      <c r="R598" s="2"/>
      <c r="S598" s="2"/>
    </row>
    <row r="599" spans="1:19" s="6" customFormat="1" ht="27.95" customHeight="1" x14ac:dyDescent="0.25">
      <c r="A599" s="588" t="s">
        <v>235</v>
      </c>
      <c r="B599" s="591" t="s">
        <v>251</v>
      </c>
      <c r="C599" s="58" t="s">
        <v>27</v>
      </c>
      <c r="D599" s="46">
        <v>771</v>
      </c>
      <c r="E599" s="98">
        <f>SUM(E600:E605)</f>
        <v>17597.27</v>
      </c>
      <c r="F599" s="98">
        <f t="shared" ref="F599:L599" si="105">SUM(F600:F605)</f>
        <v>24196.38</v>
      </c>
      <c r="G599" s="98">
        <f t="shared" si="105"/>
        <v>29927.7</v>
      </c>
      <c r="H599" s="98">
        <f t="shared" si="105"/>
        <v>22074.26</v>
      </c>
      <c r="I599" s="98">
        <f t="shared" si="105"/>
        <v>22074.26</v>
      </c>
      <c r="J599" s="98">
        <f t="shared" si="105"/>
        <v>22074.26</v>
      </c>
      <c r="K599" s="98">
        <f t="shared" si="105"/>
        <v>22074.26</v>
      </c>
      <c r="L599" s="98">
        <f t="shared" si="105"/>
        <v>22074.26</v>
      </c>
      <c r="M599" s="98">
        <f>SUM(E599:L599)</f>
        <v>182092.65</v>
      </c>
      <c r="N599" s="5"/>
      <c r="O599" s="2"/>
      <c r="P599" s="2"/>
      <c r="Q599" s="2"/>
      <c r="R599" s="2"/>
      <c r="S599" s="2"/>
    </row>
    <row r="600" spans="1:19" s="6" customFormat="1" ht="42" customHeight="1" x14ac:dyDescent="0.25">
      <c r="A600" s="589"/>
      <c r="B600" s="592"/>
      <c r="C600" s="67" t="s">
        <v>93</v>
      </c>
      <c r="D600" s="46"/>
      <c r="E600" s="79">
        <v>0</v>
      </c>
      <c r="F600" s="99">
        <v>0</v>
      </c>
      <c r="G600" s="99">
        <v>0</v>
      </c>
      <c r="H600" s="99">
        <v>0</v>
      </c>
      <c r="I600" s="99">
        <v>0</v>
      </c>
      <c r="J600" s="99">
        <v>0</v>
      </c>
      <c r="K600" s="99">
        <v>0</v>
      </c>
      <c r="L600" s="99">
        <v>0</v>
      </c>
      <c r="M600" s="99">
        <v>0</v>
      </c>
      <c r="N600" s="5"/>
      <c r="O600" s="2"/>
      <c r="P600" s="2"/>
      <c r="Q600" s="2"/>
      <c r="R600" s="2"/>
      <c r="S600" s="2"/>
    </row>
    <row r="601" spans="1:19" s="24" customFormat="1" ht="27.95" customHeight="1" x14ac:dyDescent="0.25">
      <c r="A601" s="589"/>
      <c r="B601" s="592"/>
      <c r="C601" s="67" t="s">
        <v>94</v>
      </c>
      <c r="D601" s="46">
        <v>771</v>
      </c>
      <c r="E601" s="99">
        <f>'Приложение 5'!H244</f>
        <v>17597.27</v>
      </c>
      <c r="F601" s="99">
        <f>'Приложение 5'!I244</f>
        <v>24196.38</v>
      </c>
      <c r="G601" s="99">
        <f>'Приложение 5'!J244</f>
        <v>29927.7</v>
      </c>
      <c r="H601" s="99">
        <f>'Приложение 5'!K244</f>
        <v>22074.26</v>
      </c>
      <c r="I601" s="99">
        <f>'Приложение 5'!L244</f>
        <v>22074.26</v>
      </c>
      <c r="J601" s="99">
        <f>'Приложение 5'!M244</f>
        <v>22074.26</v>
      </c>
      <c r="K601" s="99">
        <f>'Приложение 5'!N244</f>
        <v>22074.26</v>
      </c>
      <c r="L601" s="99">
        <f>'Приложение 5'!O244</f>
        <v>22074.26</v>
      </c>
      <c r="M601" s="99">
        <f>'Приложение 5'!P244</f>
        <v>182092.65</v>
      </c>
      <c r="N601" s="22"/>
      <c r="O601" s="23"/>
      <c r="P601" s="23"/>
      <c r="Q601" s="23"/>
      <c r="R601" s="23"/>
      <c r="S601" s="23"/>
    </row>
    <row r="602" spans="1:19" s="27" customFormat="1" ht="57" customHeight="1" x14ac:dyDescent="0.25">
      <c r="A602" s="589"/>
      <c r="B602" s="592"/>
      <c r="C602" s="67" t="s">
        <v>95</v>
      </c>
      <c r="D602" s="46"/>
      <c r="E602" s="99">
        <v>0</v>
      </c>
      <c r="F602" s="99">
        <v>0</v>
      </c>
      <c r="G602" s="99">
        <v>0</v>
      </c>
      <c r="H602" s="99">
        <v>0</v>
      </c>
      <c r="I602" s="99">
        <v>0</v>
      </c>
      <c r="J602" s="99">
        <v>0</v>
      </c>
      <c r="K602" s="99">
        <v>0</v>
      </c>
      <c r="L602" s="99">
        <v>0</v>
      </c>
      <c r="M602" s="99">
        <v>0</v>
      </c>
      <c r="N602" s="25"/>
      <c r="O602" s="26"/>
      <c r="P602" s="26"/>
      <c r="Q602" s="26"/>
      <c r="R602" s="26"/>
      <c r="S602" s="26"/>
    </row>
    <row r="603" spans="1:19" s="27" customFormat="1" ht="83.1" customHeight="1" x14ac:dyDescent="0.25">
      <c r="A603" s="589"/>
      <c r="B603" s="592"/>
      <c r="C603" s="67" t="s">
        <v>96</v>
      </c>
      <c r="D603" s="46"/>
      <c r="E603" s="99">
        <v>0</v>
      </c>
      <c r="F603" s="99">
        <v>0</v>
      </c>
      <c r="G603" s="99">
        <v>0</v>
      </c>
      <c r="H603" s="99">
        <v>0</v>
      </c>
      <c r="I603" s="99">
        <v>0</v>
      </c>
      <c r="J603" s="99">
        <v>0</v>
      </c>
      <c r="K603" s="99">
        <v>0</v>
      </c>
      <c r="L603" s="99">
        <v>0</v>
      </c>
      <c r="M603" s="99">
        <v>0</v>
      </c>
      <c r="N603" s="25"/>
      <c r="O603" s="26"/>
      <c r="P603" s="26"/>
      <c r="Q603" s="26"/>
      <c r="R603" s="26"/>
      <c r="S603" s="26"/>
    </row>
    <row r="604" spans="1:19" s="27" customFormat="1" ht="83.1" customHeight="1" x14ac:dyDescent="0.25">
      <c r="A604" s="589"/>
      <c r="B604" s="592"/>
      <c r="C604" s="67" t="s">
        <v>97</v>
      </c>
      <c r="D604" s="46"/>
      <c r="E604" s="99">
        <v>0</v>
      </c>
      <c r="F604" s="99">
        <v>0</v>
      </c>
      <c r="G604" s="99">
        <v>0</v>
      </c>
      <c r="H604" s="99">
        <v>0</v>
      </c>
      <c r="I604" s="99">
        <v>0</v>
      </c>
      <c r="J604" s="99">
        <v>0</v>
      </c>
      <c r="K604" s="99">
        <v>0</v>
      </c>
      <c r="L604" s="99">
        <v>0</v>
      </c>
      <c r="M604" s="99">
        <v>0</v>
      </c>
      <c r="N604" s="25"/>
      <c r="O604" s="26"/>
      <c r="P604" s="26"/>
      <c r="Q604" s="26"/>
      <c r="R604" s="26"/>
      <c r="S604" s="26"/>
    </row>
    <row r="605" spans="1:19" s="27" customFormat="1" ht="57" customHeight="1" x14ac:dyDescent="0.25">
      <c r="A605" s="590"/>
      <c r="B605" s="593"/>
      <c r="C605" s="67" t="s">
        <v>98</v>
      </c>
      <c r="D605" s="46"/>
      <c r="E605" s="99">
        <v>0</v>
      </c>
      <c r="F605" s="99">
        <v>0</v>
      </c>
      <c r="G605" s="99">
        <v>0</v>
      </c>
      <c r="H605" s="99">
        <v>0</v>
      </c>
      <c r="I605" s="99">
        <v>0</v>
      </c>
      <c r="J605" s="99">
        <v>0</v>
      </c>
      <c r="K605" s="99">
        <v>0</v>
      </c>
      <c r="L605" s="99">
        <v>0</v>
      </c>
      <c r="M605" s="99">
        <v>0</v>
      </c>
      <c r="N605" s="25"/>
      <c r="O605" s="26"/>
      <c r="P605" s="26"/>
      <c r="Q605" s="26"/>
      <c r="R605" s="26"/>
      <c r="S605" s="26"/>
    </row>
    <row r="606" spans="1:19" s="6" customFormat="1" ht="27.95" customHeight="1" x14ac:dyDescent="0.25">
      <c r="A606" s="588" t="s">
        <v>236</v>
      </c>
      <c r="B606" s="591" t="s">
        <v>145</v>
      </c>
      <c r="C606" s="58" t="s">
        <v>27</v>
      </c>
      <c r="D606" s="46">
        <v>771</v>
      </c>
      <c r="E606" s="98">
        <f>SUM(E607:E612)</f>
        <v>16172.27</v>
      </c>
      <c r="F606" s="98">
        <f t="shared" ref="F606:L606" si="106">SUM(F607:F612)</f>
        <v>22771.38</v>
      </c>
      <c r="G606" s="98">
        <f t="shared" si="106"/>
        <v>29502.7</v>
      </c>
      <c r="H606" s="98">
        <f t="shared" si="106"/>
        <v>21649.26</v>
      </c>
      <c r="I606" s="98">
        <f t="shared" si="106"/>
        <v>21649.26</v>
      </c>
      <c r="J606" s="98">
        <f t="shared" si="106"/>
        <v>21649.26</v>
      </c>
      <c r="K606" s="98">
        <f t="shared" si="106"/>
        <v>21649.26</v>
      </c>
      <c r="L606" s="98">
        <f t="shared" si="106"/>
        <v>21649.26</v>
      </c>
      <c r="M606" s="98">
        <f>SUM(E606:L606)</f>
        <v>176692.65</v>
      </c>
      <c r="N606" s="5"/>
      <c r="O606" s="2"/>
      <c r="P606" s="2"/>
      <c r="Q606" s="2"/>
      <c r="R606" s="2"/>
      <c r="S606" s="2"/>
    </row>
    <row r="607" spans="1:19" s="6" customFormat="1" ht="48.75" customHeight="1" x14ac:dyDescent="0.25">
      <c r="A607" s="589"/>
      <c r="B607" s="592"/>
      <c r="C607" s="67" t="s">
        <v>93</v>
      </c>
      <c r="D607" s="46"/>
      <c r="E607" s="79">
        <v>0</v>
      </c>
      <c r="F607" s="99">
        <v>0</v>
      </c>
      <c r="G607" s="99">
        <v>0</v>
      </c>
      <c r="H607" s="99">
        <v>0</v>
      </c>
      <c r="I607" s="99">
        <v>0</v>
      </c>
      <c r="J607" s="99">
        <v>0</v>
      </c>
      <c r="K607" s="99">
        <v>0</v>
      </c>
      <c r="L607" s="99">
        <v>0</v>
      </c>
      <c r="M607" s="99">
        <v>0</v>
      </c>
      <c r="N607" s="5"/>
      <c r="O607" s="2"/>
      <c r="P607" s="2"/>
      <c r="Q607" s="2"/>
      <c r="R607" s="2"/>
      <c r="S607" s="2"/>
    </row>
    <row r="608" spans="1:19" s="6" customFormat="1" ht="34.5" customHeight="1" x14ac:dyDescent="0.25">
      <c r="A608" s="589"/>
      <c r="B608" s="592"/>
      <c r="C608" s="67" t="s">
        <v>94</v>
      </c>
      <c r="D608" s="46">
        <v>771</v>
      </c>
      <c r="E608" s="99">
        <f>'Приложение 5'!H245</f>
        <v>16172.27</v>
      </c>
      <c r="F608" s="99">
        <f>'Приложение 5'!I246</f>
        <v>22771.38</v>
      </c>
      <c r="G608" s="99">
        <f>'Приложение 5'!J246</f>
        <v>29502.7</v>
      </c>
      <c r="H608" s="99">
        <f>'Приложение 5'!K247</f>
        <v>21649.26</v>
      </c>
      <c r="I608" s="99">
        <f>'Приложение 5'!L248</f>
        <v>21649.26</v>
      </c>
      <c r="J608" s="99">
        <f>'Приложение 5'!M248</f>
        <v>21649.26</v>
      </c>
      <c r="K608" s="99">
        <f>'Приложение 5'!N248</f>
        <v>21649.26</v>
      </c>
      <c r="L608" s="99">
        <f>'Приложение 5'!O248</f>
        <v>21649.26</v>
      </c>
      <c r="M608" s="99">
        <f>'Приложение 5'!P245</f>
        <v>176692.65</v>
      </c>
      <c r="N608" s="5"/>
      <c r="O608" s="2"/>
      <c r="P608" s="2"/>
      <c r="Q608" s="2"/>
      <c r="R608" s="2"/>
      <c r="S608" s="2"/>
    </row>
    <row r="609" spans="1:19" s="6" customFormat="1" ht="57" customHeight="1" x14ac:dyDescent="0.25">
      <c r="A609" s="589"/>
      <c r="B609" s="592"/>
      <c r="C609" s="67" t="s">
        <v>95</v>
      </c>
      <c r="D609" s="46"/>
      <c r="E609" s="99">
        <v>0</v>
      </c>
      <c r="F609" s="99">
        <v>0</v>
      </c>
      <c r="G609" s="99">
        <v>0</v>
      </c>
      <c r="H609" s="99">
        <v>0</v>
      </c>
      <c r="I609" s="99">
        <v>0</v>
      </c>
      <c r="J609" s="99">
        <v>0</v>
      </c>
      <c r="K609" s="99">
        <v>0</v>
      </c>
      <c r="L609" s="99">
        <v>0</v>
      </c>
      <c r="M609" s="99">
        <v>0</v>
      </c>
      <c r="N609" s="5"/>
      <c r="O609" s="2"/>
      <c r="P609" s="2"/>
      <c r="Q609" s="2"/>
      <c r="R609" s="2"/>
      <c r="S609" s="2"/>
    </row>
    <row r="610" spans="1:19" s="6" customFormat="1" ht="87.75" customHeight="1" x14ac:dyDescent="0.25">
      <c r="A610" s="589"/>
      <c r="B610" s="592"/>
      <c r="C610" s="67" t="s">
        <v>96</v>
      </c>
      <c r="D610" s="46"/>
      <c r="E610" s="99">
        <v>0</v>
      </c>
      <c r="F610" s="99">
        <v>0</v>
      </c>
      <c r="G610" s="99">
        <v>0</v>
      </c>
      <c r="H610" s="99">
        <v>0</v>
      </c>
      <c r="I610" s="99">
        <v>0</v>
      </c>
      <c r="J610" s="99">
        <v>0</v>
      </c>
      <c r="K610" s="99">
        <v>0</v>
      </c>
      <c r="L610" s="99">
        <v>0</v>
      </c>
      <c r="M610" s="99">
        <v>0</v>
      </c>
      <c r="N610" s="5"/>
      <c r="O610" s="2"/>
      <c r="P610" s="2"/>
      <c r="Q610" s="2"/>
      <c r="R610" s="2"/>
      <c r="S610" s="2"/>
    </row>
    <row r="611" spans="1:19" s="6" customFormat="1" ht="89.25" customHeight="1" x14ac:dyDescent="0.25">
      <c r="A611" s="589"/>
      <c r="B611" s="592"/>
      <c r="C611" s="67" t="s">
        <v>97</v>
      </c>
      <c r="D611" s="46"/>
      <c r="E611" s="99">
        <v>0</v>
      </c>
      <c r="F611" s="99">
        <v>0</v>
      </c>
      <c r="G611" s="99">
        <v>0</v>
      </c>
      <c r="H611" s="99">
        <v>0</v>
      </c>
      <c r="I611" s="99">
        <v>0</v>
      </c>
      <c r="J611" s="99">
        <v>0</v>
      </c>
      <c r="K611" s="99">
        <v>0</v>
      </c>
      <c r="L611" s="99">
        <v>0</v>
      </c>
      <c r="M611" s="99">
        <v>0</v>
      </c>
      <c r="N611" s="5"/>
      <c r="O611" s="2"/>
      <c r="P611" s="2"/>
      <c r="Q611" s="2"/>
      <c r="R611" s="2"/>
      <c r="S611" s="2"/>
    </row>
    <row r="612" spans="1:19" s="6" customFormat="1" ht="57" customHeight="1" x14ac:dyDescent="0.25">
      <c r="A612" s="590"/>
      <c r="B612" s="593"/>
      <c r="C612" s="67" t="s">
        <v>98</v>
      </c>
      <c r="D612" s="46"/>
      <c r="E612" s="99">
        <v>0</v>
      </c>
      <c r="F612" s="99">
        <v>0</v>
      </c>
      <c r="G612" s="99">
        <v>0</v>
      </c>
      <c r="H612" s="99">
        <v>0</v>
      </c>
      <c r="I612" s="99">
        <v>0</v>
      </c>
      <c r="J612" s="99">
        <v>0</v>
      </c>
      <c r="K612" s="99">
        <v>0</v>
      </c>
      <c r="L612" s="99">
        <v>0</v>
      </c>
      <c r="M612" s="99">
        <v>0</v>
      </c>
      <c r="N612" s="5"/>
      <c r="O612" s="2"/>
      <c r="P612" s="2"/>
      <c r="Q612" s="2"/>
      <c r="R612" s="2"/>
      <c r="S612" s="2"/>
    </row>
    <row r="613" spans="1:19" s="6" customFormat="1" ht="27.95" customHeight="1" x14ac:dyDescent="0.25">
      <c r="A613" s="588" t="s">
        <v>237</v>
      </c>
      <c r="B613" s="591" t="s">
        <v>80</v>
      </c>
      <c r="C613" s="58" t="s">
        <v>27</v>
      </c>
      <c r="D613" s="46">
        <v>771</v>
      </c>
      <c r="E613" s="98">
        <f>SUM(E614:E619)</f>
        <v>1425</v>
      </c>
      <c r="F613" s="98">
        <f t="shared" ref="F613:H613" si="107">SUM(F614:F619)</f>
        <v>1425</v>
      </c>
      <c r="G613" s="98">
        <f t="shared" si="107"/>
        <v>425</v>
      </c>
      <c r="H613" s="98">
        <f t="shared" si="107"/>
        <v>425</v>
      </c>
      <c r="I613" s="98">
        <f>'Приложение 5'!L252</f>
        <v>425</v>
      </c>
      <c r="J613" s="98">
        <f>'Приложение 5'!M252</f>
        <v>425</v>
      </c>
      <c r="K613" s="98">
        <f>'Приложение 5'!N252</f>
        <v>425</v>
      </c>
      <c r="L613" s="98">
        <f>'Приложение 5'!O252</f>
        <v>425</v>
      </c>
      <c r="M613" s="98">
        <f>SUM(E613:L613)</f>
        <v>5400</v>
      </c>
      <c r="N613" s="5"/>
      <c r="O613" s="2"/>
      <c r="P613" s="2"/>
      <c r="Q613" s="2"/>
      <c r="R613" s="2"/>
      <c r="S613" s="2"/>
    </row>
    <row r="614" spans="1:19" s="6" customFormat="1" ht="45" customHeight="1" x14ac:dyDescent="0.25">
      <c r="A614" s="589"/>
      <c r="B614" s="592"/>
      <c r="C614" s="67" t="s">
        <v>93</v>
      </c>
      <c r="D614" s="46"/>
      <c r="E614" s="79">
        <v>0</v>
      </c>
      <c r="F614" s="99">
        <v>0</v>
      </c>
      <c r="G614" s="99">
        <v>0</v>
      </c>
      <c r="H614" s="99">
        <v>0</v>
      </c>
      <c r="I614" s="99">
        <v>0</v>
      </c>
      <c r="J614" s="99">
        <v>0</v>
      </c>
      <c r="K614" s="99">
        <v>0</v>
      </c>
      <c r="L614" s="99">
        <v>0</v>
      </c>
      <c r="M614" s="99">
        <v>0</v>
      </c>
      <c r="N614" s="5"/>
      <c r="O614" s="2"/>
      <c r="P614" s="2"/>
      <c r="Q614" s="2"/>
      <c r="R614" s="2"/>
      <c r="S614" s="2"/>
    </row>
    <row r="615" spans="1:19" s="6" customFormat="1" ht="27.95" customHeight="1" x14ac:dyDescent="0.25">
      <c r="A615" s="589"/>
      <c r="B615" s="592"/>
      <c r="C615" s="67" t="s">
        <v>94</v>
      </c>
      <c r="D615" s="46">
        <v>771</v>
      </c>
      <c r="E615" s="99">
        <f>'Приложение 5'!H249</f>
        <v>1425</v>
      </c>
      <c r="F615" s="99">
        <f>'Приложение 5'!I250</f>
        <v>1425</v>
      </c>
      <c r="G615" s="99">
        <f>'Приложение 5'!J250</f>
        <v>425</v>
      </c>
      <c r="H615" s="99">
        <f>'Приложение 5'!K251</f>
        <v>425</v>
      </c>
      <c r="I615" s="99">
        <f>'Приложение 5'!L251</f>
        <v>0</v>
      </c>
      <c r="J615" s="99">
        <f>'Приложение 5'!M251</f>
        <v>0</v>
      </c>
      <c r="K615" s="99">
        <f>'Приложение 5'!N251</f>
        <v>0</v>
      </c>
      <c r="L615" s="99">
        <f>'Приложение 5'!O251</f>
        <v>0</v>
      </c>
      <c r="M615" s="99">
        <f>'Приложение 5'!P249</f>
        <v>5400</v>
      </c>
      <c r="N615" s="5"/>
      <c r="O615" s="2"/>
      <c r="P615" s="2"/>
      <c r="Q615" s="2"/>
      <c r="R615" s="2"/>
      <c r="S615" s="2"/>
    </row>
    <row r="616" spans="1:19" s="6" customFormat="1" ht="63.75" customHeight="1" x14ac:dyDescent="0.25">
      <c r="A616" s="589"/>
      <c r="B616" s="592"/>
      <c r="C616" s="67" t="s">
        <v>95</v>
      </c>
      <c r="D616" s="46"/>
      <c r="E616" s="99">
        <v>0</v>
      </c>
      <c r="F616" s="99">
        <v>0</v>
      </c>
      <c r="G616" s="99">
        <v>0</v>
      </c>
      <c r="H616" s="99">
        <v>0</v>
      </c>
      <c r="I616" s="99">
        <v>0</v>
      </c>
      <c r="J616" s="99">
        <v>0</v>
      </c>
      <c r="K616" s="99">
        <v>0</v>
      </c>
      <c r="L616" s="99">
        <v>0</v>
      </c>
      <c r="M616" s="99">
        <v>0</v>
      </c>
      <c r="N616" s="5"/>
      <c r="O616" s="2"/>
      <c r="P616" s="2"/>
      <c r="Q616" s="2"/>
      <c r="R616" s="2"/>
      <c r="S616" s="2"/>
    </row>
    <row r="617" spans="1:19" s="6" customFormat="1" ht="83.1" customHeight="1" x14ac:dyDescent="0.25">
      <c r="A617" s="589"/>
      <c r="B617" s="592"/>
      <c r="C617" s="67" t="s">
        <v>96</v>
      </c>
      <c r="D617" s="46"/>
      <c r="E617" s="99">
        <v>0</v>
      </c>
      <c r="F617" s="99">
        <v>0</v>
      </c>
      <c r="G617" s="99">
        <v>0</v>
      </c>
      <c r="H617" s="99">
        <v>0</v>
      </c>
      <c r="I617" s="99">
        <v>0</v>
      </c>
      <c r="J617" s="99">
        <v>0</v>
      </c>
      <c r="K617" s="99">
        <v>0</v>
      </c>
      <c r="L617" s="99">
        <v>0</v>
      </c>
      <c r="M617" s="99">
        <v>0</v>
      </c>
      <c r="N617" s="5"/>
      <c r="O617" s="2"/>
      <c r="P617" s="2"/>
      <c r="Q617" s="2"/>
      <c r="R617" s="2"/>
      <c r="S617" s="2"/>
    </row>
    <row r="618" spans="1:19" s="6" customFormat="1" ht="83.1" customHeight="1" x14ac:dyDescent="0.25">
      <c r="A618" s="589"/>
      <c r="B618" s="592"/>
      <c r="C618" s="67" t="s">
        <v>97</v>
      </c>
      <c r="D618" s="46"/>
      <c r="E618" s="99">
        <v>0</v>
      </c>
      <c r="F618" s="99">
        <v>0</v>
      </c>
      <c r="G618" s="99">
        <v>0</v>
      </c>
      <c r="H618" s="99">
        <v>0</v>
      </c>
      <c r="I618" s="99">
        <v>0</v>
      </c>
      <c r="J618" s="99">
        <v>0</v>
      </c>
      <c r="K618" s="99">
        <v>0</v>
      </c>
      <c r="L618" s="99">
        <v>0</v>
      </c>
      <c r="M618" s="99">
        <v>0</v>
      </c>
      <c r="N618" s="5"/>
      <c r="O618" s="2"/>
      <c r="P618" s="2"/>
      <c r="Q618" s="2"/>
      <c r="R618" s="2"/>
      <c r="S618" s="2"/>
    </row>
    <row r="619" spans="1:19" s="6" customFormat="1" ht="57" customHeight="1" x14ac:dyDescent="0.25">
      <c r="A619" s="590"/>
      <c r="B619" s="593"/>
      <c r="C619" s="67" t="s">
        <v>98</v>
      </c>
      <c r="D619" s="46"/>
      <c r="E619" s="99">
        <v>0</v>
      </c>
      <c r="F619" s="99">
        <v>0</v>
      </c>
      <c r="G619" s="99">
        <v>0</v>
      </c>
      <c r="H619" s="99">
        <v>0</v>
      </c>
      <c r="I619" s="99">
        <v>0</v>
      </c>
      <c r="J619" s="99">
        <v>0</v>
      </c>
      <c r="K619" s="99">
        <v>0</v>
      </c>
      <c r="L619" s="99">
        <v>0</v>
      </c>
      <c r="M619" s="99">
        <v>0</v>
      </c>
      <c r="N619" s="5"/>
      <c r="O619" s="2"/>
      <c r="P619" s="2"/>
      <c r="Q619" s="2"/>
      <c r="R619" s="2"/>
      <c r="S619" s="2"/>
    </row>
    <row r="620" spans="1:19" s="6" customFormat="1" ht="27.95" customHeight="1" x14ac:dyDescent="0.25">
      <c r="A620" s="562" t="s">
        <v>238</v>
      </c>
      <c r="B620" s="571" t="s">
        <v>395</v>
      </c>
      <c r="C620" s="58" t="s">
        <v>27</v>
      </c>
      <c r="D620" s="46">
        <v>771</v>
      </c>
      <c r="E620" s="98">
        <f>SUM(E621:E626)</f>
        <v>0</v>
      </c>
      <c r="F620" s="98">
        <f t="shared" ref="F620:L620" si="108">SUM(F621:F626)</f>
        <v>120</v>
      </c>
      <c r="G620" s="98">
        <f t="shared" si="108"/>
        <v>17128.09</v>
      </c>
      <c r="H620" s="98">
        <f t="shared" si="108"/>
        <v>0</v>
      </c>
      <c r="I620" s="98">
        <f t="shared" si="108"/>
        <v>0</v>
      </c>
      <c r="J620" s="98">
        <f t="shared" si="108"/>
        <v>0</v>
      </c>
      <c r="K620" s="98">
        <f t="shared" si="108"/>
        <v>0</v>
      </c>
      <c r="L620" s="98">
        <f t="shared" si="108"/>
        <v>0</v>
      </c>
      <c r="M620" s="98">
        <f t="shared" ref="M620" si="109">SUM(E620:L620)</f>
        <v>17248.09</v>
      </c>
      <c r="N620" s="5"/>
      <c r="O620" s="2"/>
      <c r="P620" s="2"/>
      <c r="Q620" s="2"/>
      <c r="R620" s="2"/>
      <c r="S620" s="2"/>
    </row>
    <row r="621" spans="1:19" s="6" customFormat="1" ht="42" customHeight="1" x14ac:dyDescent="0.25">
      <c r="A621" s="563"/>
      <c r="B621" s="572"/>
      <c r="C621" s="67" t="s">
        <v>93</v>
      </c>
      <c r="D621" s="46"/>
      <c r="E621" s="79">
        <v>0</v>
      </c>
      <c r="F621" s="99">
        <v>0</v>
      </c>
      <c r="G621" s="99">
        <v>0</v>
      </c>
      <c r="H621" s="99">
        <v>0</v>
      </c>
      <c r="I621" s="99">
        <v>0</v>
      </c>
      <c r="J621" s="99">
        <v>0</v>
      </c>
      <c r="K621" s="99">
        <v>0</v>
      </c>
      <c r="L621" s="99">
        <v>0</v>
      </c>
      <c r="M621" s="99">
        <v>0</v>
      </c>
      <c r="N621" s="5"/>
      <c r="O621" s="2"/>
      <c r="P621" s="2"/>
      <c r="Q621" s="2"/>
      <c r="R621" s="2"/>
      <c r="S621" s="2"/>
    </row>
    <row r="622" spans="1:19" s="6" customFormat="1" ht="27.95" customHeight="1" x14ac:dyDescent="0.25">
      <c r="A622" s="563"/>
      <c r="B622" s="572"/>
      <c r="C622" s="67" t="s">
        <v>94</v>
      </c>
      <c r="D622" s="46">
        <v>771</v>
      </c>
      <c r="E622" s="99">
        <f>'Приложение 5'!H253</f>
        <v>0</v>
      </c>
      <c r="F622" s="99">
        <f>'Приложение 5'!I253</f>
        <v>120</v>
      </c>
      <c r="G622" s="99">
        <f>'Приложение 5'!J253</f>
        <v>17128.09</v>
      </c>
      <c r="H622" s="99">
        <f>'Приложение 5'!K253</f>
        <v>0</v>
      </c>
      <c r="I622" s="99">
        <f>'Приложение 5'!L253</f>
        <v>0</v>
      </c>
      <c r="J622" s="99">
        <f>'Приложение 5'!M253</f>
        <v>0</v>
      </c>
      <c r="K622" s="99">
        <f>'Приложение 5'!N253</f>
        <v>0</v>
      </c>
      <c r="L622" s="99">
        <f>'Приложение 5'!O253</f>
        <v>0</v>
      </c>
      <c r="M622" s="99">
        <f>'Приложение 5'!P253</f>
        <v>17248.09</v>
      </c>
      <c r="N622" s="5"/>
      <c r="O622" s="2"/>
      <c r="P622" s="2"/>
      <c r="Q622" s="2"/>
      <c r="R622" s="2"/>
      <c r="S622" s="2"/>
    </row>
    <row r="623" spans="1:19" s="6" customFormat="1" ht="57" customHeight="1" x14ac:dyDescent="0.25">
      <c r="A623" s="563"/>
      <c r="B623" s="572"/>
      <c r="C623" s="67" t="s">
        <v>95</v>
      </c>
      <c r="D623" s="46"/>
      <c r="E623" s="99">
        <v>0</v>
      </c>
      <c r="F623" s="99">
        <v>0</v>
      </c>
      <c r="G623" s="99">
        <v>0</v>
      </c>
      <c r="H623" s="99">
        <v>0</v>
      </c>
      <c r="I623" s="99">
        <v>0</v>
      </c>
      <c r="J623" s="99">
        <v>0</v>
      </c>
      <c r="K623" s="99">
        <v>0</v>
      </c>
      <c r="L623" s="99">
        <v>0</v>
      </c>
      <c r="M623" s="99">
        <v>0</v>
      </c>
      <c r="N623" s="5"/>
      <c r="O623" s="2"/>
      <c r="P623" s="2"/>
      <c r="Q623" s="2"/>
      <c r="R623" s="2"/>
      <c r="S623" s="2"/>
    </row>
    <row r="624" spans="1:19" s="6" customFormat="1" ht="83.1" customHeight="1" x14ac:dyDescent="0.25">
      <c r="A624" s="563"/>
      <c r="B624" s="572"/>
      <c r="C624" s="67" t="s">
        <v>96</v>
      </c>
      <c r="D624" s="46"/>
      <c r="E624" s="99">
        <v>0</v>
      </c>
      <c r="F624" s="99">
        <v>0</v>
      </c>
      <c r="G624" s="99">
        <v>0</v>
      </c>
      <c r="H624" s="99">
        <v>0</v>
      </c>
      <c r="I624" s="99">
        <v>0</v>
      </c>
      <c r="J624" s="99">
        <v>0</v>
      </c>
      <c r="K624" s="99">
        <v>0</v>
      </c>
      <c r="L624" s="99">
        <v>0</v>
      </c>
      <c r="M624" s="99">
        <v>0</v>
      </c>
      <c r="N624" s="5"/>
      <c r="O624" s="2"/>
      <c r="P624" s="2"/>
      <c r="Q624" s="2"/>
      <c r="R624" s="2"/>
      <c r="S624" s="2"/>
    </row>
    <row r="625" spans="1:19" s="6" customFormat="1" ht="83.1" customHeight="1" x14ac:dyDescent="0.25">
      <c r="A625" s="563"/>
      <c r="B625" s="572"/>
      <c r="C625" s="67" t="s">
        <v>97</v>
      </c>
      <c r="D625" s="46"/>
      <c r="E625" s="99">
        <v>0</v>
      </c>
      <c r="F625" s="99">
        <v>0</v>
      </c>
      <c r="G625" s="99">
        <v>0</v>
      </c>
      <c r="H625" s="99">
        <v>0</v>
      </c>
      <c r="I625" s="99">
        <v>0</v>
      </c>
      <c r="J625" s="99">
        <v>0</v>
      </c>
      <c r="K625" s="99">
        <v>0</v>
      </c>
      <c r="L625" s="99">
        <v>0</v>
      </c>
      <c r="M625" s="99">
        <v>0</v>
      </c>
      <c r="N625" s="5"/>
      <c r="O625" s="2"/>
      <c r="P625" s="2"/>
      <c r="Q625" s="2"/>
      <c r="R625" s="2"/>
      <c r="S625" s="2"/>
    </row>
    <row r="626" spans="1:19" s="6" customFormat="1" ht="57" customHeight="1" x14ac:dyDescent="0.25">
      <c r="A626" s="564"/>
      <c r="B626" s="573"/>
      <c r="C626" s="67" t="s">
        <v>98</v>
      </c>
      <c r="D626" s="46"/>
      <c r="E626" s="99">
        <v>0</v>
      </c>
      <c r="F626" s="99">
        <v>0</v>
      </c>
      <c r="G626" s="99">
        <v>0</v>
      </c>
      <c r="H626" s="99">
        <v>0</v>
      </c>
      <c r="I626" s="99">
        <v>0</v>
      </c>
      <c r="J626" s="99">
        <v>0</v>
      </c>
      <c r="K626" s="99">
        <v>0</v>
      </c>
      <c r="L626" s="99">
        <v>0</v>
      </c>
      <c r="M626" s="99">
        <v>0</v>
      </c>
      <c r="N626" s="5"/>
      <c r="O626" s="2"/>
      <c r="P626" s="2"/>
      <c r="Q626" s="2"/>
      <c r="R626" s="2"/>
      <c r="S626" s="2"/>
    </row>
    <row r="627" spans="1:19" s="6" customFormat="1" ht="27.95" customHeight="1" x14ac:dyDescent="0.25">
      <c r="A627" s="579" t="s">
        <v>415</v>
      </c>
      <c r="B627" s="582" t="s">
        <v>414</v>
      </c>
      <c r="C627" s="58" t="s">
        <v>27</v>
      </c>
      <c r="D627" s="46">
        <v>771</v>
      </c>
      <c r="E627" s="98">
        <f>SUM(E628:E633)</f>
        <v>0</v>
      </c>
      <c r="F627" s="98">
        <f t="shared" ref="F627:L627" si="110">SUM(F628:F633)</f>
        <v>0</v>
      </c>
      <c r="G627" s="98">
        <f t="shared" si="110"/>
        <v>12318.09</v>
      </c>
      <c r="H627" s="98">
        <f t="shared" si="110"/>
        <v>0</v>
      </c>
      <c r="I627" s="98">
        <f t="shared" si="110"/>
        <v>0</v>
      </c>
      <c r="J627" s="98">
        <f t="shared" si="110"/>
        <v>0</v>
      </c>
      <c r="K627" s="98">
        <f t="shared" si="110"/>
        <v>0</v>
      </c>
      <c r="L627" s="98">
        <f t="shared" si="110"/>
        <v>0</v>
      </c>
      <c r="M627" s="98">
        <f t="shared" ref="M627" si="111">SUM(E627:L627)</f>
        <v>12318.09</v>
      </c>
      <c r="N627" s="5"/>
      <c r="O627" s="2"/>
      <c r="P627" s="2"/>
      <c r="Q627" s="2"/>
      <c r="R627" s="2"/>
      <c r="S627" s="2"/>
    </row>
    <row r="628" spans="1:19" s="6" customFormat="1" ht="42" customHeight="1" x14ac:dyDescent="0.25">
      <c r="A628" s="580"/>
      <c r="B628" s="583"/>
      <c r="C628" s="67" t="s">
        <v>93</v>
      </c>
      <c r="D628" s="46"/>
      <c r="E628" s="79">
        <v>0</v>
      </c>
      <c r="F628" s="99">
        <v>0</v>
      </c>
      <c r="G628" s="99">
        <v>0</v>
      </c>
      <c r="H628" s="99">
        <v>0</v>
      </c>
      <c r="I628" s="99">
        <v>0</v>
      </c>
      <c r="J628" s="99">
        <v>0</v>
      </c>
      <c r="K628" s="99">
        <v>0</v>
      </c>
      <c r="L628" s="99">
        <v>0</v>
      </c>
      <c r="M628" s="99">
        <v>0</v>
      </c>
      <c r="N628" s="5"/>
      <c r="O628" s="2"/>
      <c r="P628" s="2"/>
      <c r="Q628" s="2"/>
      <c r="R628" s="2"/>
      <c r="S628" s="2"/>
    </row>
    <row r="629" spans="1:19" s="6" customFormat="1" ht="27.95" customHeight="1" x14ac:dyDescent="0.25">
      <c r="A629" s="580"/>
      <c r="B629" s="583"/>
      <c r="C629" s="67" t="s">
        <v>94</v>
      </c>
      <c r="D629" s="46">
        <v>771</v>
      </c>
      <c r="E629" s="99">
        <f>'Приложение 5'!H254</f>
        <v>0</v>
      </c>
      <c r="F629" s="99">
        <f>'Приложение 5'!I254</f>
        <v>0</v>
      </c>
      <c r="G629" s="99">
        <f>'Приложение 5'!J254</f>
        <v>12318.09</v>
      </c>
      <c r="H629" s="99">
        <f>'Приложение 5'!K254</f>
        <v>0</v>
      </c>
      <c r="I629" s="99">
        <f>'Приложение 5'!L254</f>
        <v>0</v>
      </c>
      <c r="J629" s="99">
        <f>'Приложение 5'!M254</f>
        <v>0</v>
      </c>
      <c r="K629" s="99">
        <f>'Приложение 5'!N254</f>
        <v>0</v>
      </c>
      <c r="L629" s="99">
        <f>'Приложение 5'!O254</f>
        <v>0</v>
      </c>
      <c r="M629" s="99">
        <f>'Приложение 5'!P254</f>
        <v>12318.09</v>
      </c>
      <c r="N629" s="5"/>
      <c r="O629" s="2"/>
      <c r="P629" s="2"/>
      <c r="Q629" s="2"/>
      <c r="R629" s="2"/>
      <c r="S629" s="2"/>
    </row>
    <row r="630" spans="1:19" s="6" customFormat="1" ht="57" customHeight="1" x14ac:dyDescent="0.25">
      <c r="A630" s="580"/>
      <c r="B630" s="583"/>
      <c r="C630" s="67" t="s">
        <v>95</v>
      </c>
      <c r="D630" s="46"/>
      <c r="E630" s="99">
        <v>0</v>
      </c>
      <c r="F630" s="99">
        <v>0</v>
      </c>
      <c r="G630" s="99">
        <v>0</v>
      </c>
      <c r="H630" s="99">
        <v>0</v>
      </c>
      <c r="I630" s="99">
        <v>0</v>
      </c>
      <c r="J630" s="99">
        <v>0</v>
      </c>
      <c r="K630" s="99">
        <v>0</v>
      </c>
      <c r="L630" s="99">
        <v>0</v>
      </c>
      <c r="M630" s="99">
        <v>0</v>
      </c>
      <c r="N630" s="5"/>
      <c r="O630" s="2"/>
      <c r="P630" s="2"/>
      <c r="Q630" s="2"/>
      <c r="R630" s="2"/>
      <c r="S630" s="2"/>
    </row>
    <row r="631" spans="1:19" s="6" customFormat="1" ht="83.1" customHeight="1" x14ac:dyDescent="0.25">
      <c r="A631" s="580"/>
      <c r="B631" s="583"/>
      <c r="C631" s="67" t="s">
        <v>96</v>
      </c>
      <c r="D631" s="46"/>
      <c r="E631" s="99">
        <v>0</v>
      </c>
      <c r="F631" s="99">
        <v>0</v>
      </c>
      <c r="G631" s="99">
        <v>0</v>
      </c>
      <c r="H631" s="99">
        <v>0</v>
      </c>
      <c r="I631" s="99">
        <v>0</v>
      </c>
      <c r="J631" s="99">
        <v>0</v>
      </c>
      <c r="K631" s="99">
        <v>0</v>
      </c>
      <c r="L631" s="99">
        <v>0</v>
      </c>
      <c r="M631" s="99">
        <v>0</v>
      </c>
      <c r="N631" s="5"/>
      <c r="O631" s="2"/>
      <c r="P631" s="2"/>
      <c r="Q631" s="2"/>
      <c r="R631" s="2"/>
      <c r="S631" s="2"/>
    </row>
    <row r="632" spans="1:19" s="6" customFormat="1" ht="83.1" customHeight="1" x14ac:dyDescent="0.25">
      <c r="A632" s="580"/>
      <c r="B632" s="583"/>
      <c r="C632" s="67" t="s">
        <v>97</v>
      </c>
      <c r="D632" s="46"/>
      <c r="E632" s="99">
        <v>0</v>
      </c>
      <c r="F632" s="99">
        <v>0</v>
      </c>
      <c r="G632" s="99">
        <v>0</v>
      </c>
      <c r="H632" s="99">
        <v>0</v>
      </c>
      <c r="I632" s="99">
        <v>0</v>
      </c>
      <c r="J632" s="99">
        <v>0</v>
      </c>
      <c r="K632" s="99">
        <v>0</v>
      </c>
      <c r="L632" s="99">
        <v>0</v>
      </c>
      <c r="M632" s="99">
        <v>0</v>
      </c>
      <c r="N632" s="5"/>
      <c r="O632" s="2"/>
      <c r="P632" s="2"/>
      <c r="Q632" s="2"/>
      <c r="R632" s="2"/>
      <c r="S632" s="2"/>
    </row>
    <row r="633" spans="1:19" s="6" customFormat="1" ht="57" customHeight="1" x14ac:dyDescent="0.25">
      <c r="A633" s="581"/>
      <c r="B633" s="584"/>
      <c r="C633" s="67" t="s">
        <v>98</v>
      </c>
      <c r="D633" s="46"/>
      <c r="E633" s="99">
        <v>0</v>
      </c>
      <c r="F633" s="99">
        <v>0</v>
      </c>
      <c r="G633" s="99">
        <v>0</v>
      </c>
      <c r="H633" s="99">
        <v>0</v>
      </c>
      <c r="I633" s="99">
        <v>0</v>
      </c>
      <c r="J633" s="99">
        <v>0</v>
      </c>
      <c r="K633" s="99">
        <v>0</v>
      </c>
      <c r="L633" s="99">
        <v>0</v>
      </c>
      <c r="M633" s="99">
        <v>0</v>
      </c>
      <c r="N633" s="5"/>
      <c r="O633" s="2"/>
      <c r="P633" s="2"/>
      <c r="Q633" s="2"/>
      <c r="R633" s="2"/>
      <c r="S633" s="2"/>
    </row>
    <row r="634" spans="1:19" s="6" customFormat="1" ht="27.95" customHeight="1" x14ac:dyDescent="0.25">
      <c r="A634" s="585" t="s">
        <v>268</v>
      </c>
      <c r="B634" s="558" t="s">
        <v>364</v>
      </c>
      <c r="C634" s="58" t="s">
        <v>27</v>
      </c>
      <c r="D634" s="46">
        <v>771</v>
      </c>
      <c r="E634" s="98">
        <f>SUM(E635:E640)</f>
        <v>0</v>
      </c>
      <c r="F634" s="98">
        <f t="shared" ref="F634:L634" si="112">SUM(F635:F640)</f>
        <v>0</v>
      </c>
      <c r="G634" s="98">
        <f t="shared" si="112"/>
        <v>4810</v>
      </c>
      <c r="H634" s="98">
        <f t="shared" si="112"/>
        <v>0</v>
      </c>
      <c r="I634" s="98">
        <f t="shared" si="112"/>
        <v>0</v>
      </c>
      <c r="J634" s="98">
        <f t="shared" si="112"/>
        <v>0</v>
      </c>
      <c r="K634" s="98">
        <f t="shared" si="112"/>
        <v>0</v>
      </c>
      <c r="L634" s="98">
        <f t="shared" si="112"/>
        <v>0</v>
      </c>
      <c r="M634" s="98">
        <f t="shared" ref="M634" si="113">SUM(E634:L634)</f>
        <v>4810</v>
      </c>
      <c r="N634" s="5"/>
      <c r="O634" s="2"/>
      <c r="P634" s="2"/>
      <c r="Q634" s="2"/>
      <c r="R634" s="2"/>
      <c r="S634" s="2"/>
    </row>
    <row r="635" spans="1:19" s="6" customFormat="1" ht="42" customHeight="1" x14ac:dyDescent="0.25">
      <c r="A635" s="586"/>
      <c r="B635" s="559"/>
      <c r="C635" s="67" t="s">
        <v>93</v>
      </c>
      <c r="D635" s="46"/>
      <c r="E635" s="79">
        <v>0</v>
      </c>
      <c r="F635" s="99">
        <v>0</v>
      </c>
      <c r="G635" s="99">
        <v>0</v>
      </c>
      <c r="H635" s="99">
        <v>0</v>
      </c>
      <c r="I635" s="99">
        <v>0</v>
      </c>
      <c r="J635" s="99">
        <v>0</v>
      </c>
      <c r="K635" s="99">
        <v>0</v>
      </c>
      <c r="L635" s="99">
        <v>0</v>
      </c>
      <c r="M635" s="99">
        <v>0</v>
      </c>
      <c r="N635" s="5"/>
      <c r="O635" s="2"/>
      <c r="P635" s="2"/>
      <c r="Q635" s="2"/>
      <c r="R635" s="2"/>
      <c r="S635" s="2"/>
    </row>
    <row r="636" spans="1:19" s="6" customFormat="1" ht="27.95" customHeight="1" x14ac:dyDescent="0.25">
      <c r="A636" s="586"/>
      <c r="B636" s="559"/>
      <c r="C636" s="67" t="s">
        <v>94</v>
      </c>
      <c r="D636" s="46">
        <v>771</v>
      </c>
      <c r="E636" s="99">
        <f>'Приложение 5'!H255</f>
        <v>0</v>
      </c>
      <c r="F636" s="99">
        <f>'Приложение 5'!I255</f>
        <v>0</v>
      </c>
      <c r="G636" s="99">
        <f>'Приложение 5'!J255</f>
        <v>4810</v>
      </c>
      <c r="H636" s="99">
        <f>'Приложение 5'!K255</f>
        <v>0</v>
      </c>
      <c r="I636" s="99">
        <f>'Приложение 5'!L255</f>
        <v>0</v>
      </c>
      <c r="J636" s="99">
        <f>'Приложение 5'!M255</f>
        <v>0</v>
      </c>
      <c r="K636" s="99">
        <f>'Приложение 5'!N255</f>
        <v>0</v>
      </c>
      <c r="L636" s="99">
        <f>'Приложение 5'!O255</f>
        <v>0</v>
      </c>
      <c r="M636" s="99">
        <f>'Приложение 5'!P255</f>
        <v>4810</v>
      </c>
      <c r="N636" s="5"/>
      <c r="O636" s="2"/>
      <c r="P636" s="2"/>
      <c r="Q636" s="2"/>
      <c r="R636" s="2"/>
      <c r="S636" s="2"/>
    </row>
    <row r="637" spans="1:19" s="6" customFormat="1" ht="57" customHeight="1" x14ac:dyDescent="0.25">
      <c r="A637" s="586"/>
      <c r="B637" s="559"/>
      <c r="C637" s="67" t="s">
        <v>95</v>
      </c>
      <c r="D637" s="46"/>
      <c r="E637" s="99">
        <v>0</v>
      </c>
      <c r="F637" s="99">
        <v>0</v>
      </c>
      <c r="G637" s="99">
        <v>0</v>
      </c>
      <c r="H637" s="99">
        <v>0</v>
      </c>
      <c r="I637" s="99">
        <v>0</v>
      </c>
      <c r="J637" s="99">
        <v>0</v>
      </c>
      <c r="K637" s="99">
        <v>0</v>
      </c>
      <c r="L637" s="99">
        <v>0</v>
      </c>
      <c r="M637" s="99">
        <v>0</v>
      </c>
      <c r="N637" s="5"/>
      <c r="O637" s="2"/>
      <c r="P637" s="2"/>
      <c r="Q637" s="2"/>
      <c r="R637" s="2"/>
      <c r="S637" s="2"/>
    </row>
    <row r="638" spans="1:19" s="6" customFormat="1" ht="83.1" customHeight="1" x14ac:dyDescent="0.25">
      <c r="A638" s="586"/>
      <c r="B638" s="559"/>
      <c r="C638" s="67" t="s">
        <v>96</v>
      </c>
      <c r="D638" s="46"/>
      <c r="E638" s="99">
        <v>0</v>
      </c>
      <c r="F638" s="99">
        <v>0</v>
      </c>
      <c r="G638" s="99">
        <v>0</v>
      </c>
      <c r="H638" s="99">
        <v>0</v>
      </c>
      <c r="I638" s="99">
        <v>0</v>
      </c>
      <c r="J638" s="99">
        <v>0</v>
      </c>
      <c r="K638" s="99">
        <v>0</v>
      </c>
      <c r="L638" s="99">
        <v>0</v>
      </c>
      <c r="M638" s="99">
        <v>0</v>
      </c>
      <c r="N638" s="5"/>
      <c r="O638" s="2"/>
      <c r="P638" s="2"/>
      <c r="Q638" s="2"/>
      <c r="R638" s="2"/>
      <c r="S638" s="2"/>
    </row>
    <row r="639" spans="1:19" s="6" customFormat="1" ht="83.1" customHeight="1" x14ac:dyDescent="0.25">
      <c r="A639" s="586"/>
      <c r="B639" s="559"/>
      <c r="C639" s="67" t="s">
        <v>97</v>
      </c>
      <c r="D639" s="46"/>
      <c r="E639" s="99">
        <v>0</v>
      </c>
      <c r="F639" s="99">
        <v>0</v>
      </c>
      <c r="G639" s="99">
        <v>0</v>
      </c>
      <c r="H639" s="99">
        <v>0</v>
      </c>
      <c r="I639" s="99">
        <v>0</v>
      </c>
      <c r="J639" s="99">
        <v>0</v>
      </c>
      <c r="K639" s="99">
        <v>0</v>
      </c>
      <c r="L639" s="99">
        <v>0</v>
      </c>
      <c r="M639" s="99">
        <v>0</v>
      </c>
      <c r="N639" s="5"/>
      <c r="O639" s="2"/>
      <c r="P639" s="2"/>
      <c r="Q639" s="2"/>
      <c r="R639" s="2"/>
      <c r="S639" s="2"/>
    </row>
    <row r="640" spans="1:19" s="6" customFormat="1" ht="57" customHeight="1" x14ac:dyDescent="0.25">
      <c r="A640" s="587"/>
      <c r="B640" s="560"/>
      <c r="C640" s="67" t="s">
        <v>98</v>
      </c>
      <c r="D640" s="46"/>
      <c r="E640" s="99">
        <v>0</v>
      </c>
      <c r="F640" s="99">
        <v>0</v>
      </c>
      <c r="G640" s="99">
        <v>0</v>
      </c>
      <c r="H640" s="99">
        <v>0</v>
      </c>
      <c r="I640" s="99">
        <v>0</v>
      </c>
      <c r="J640" s="99">
        <v>0</v>
      </c>
      <c r="K640" s="99">
        <v>0</v>
      </c>
      <c r="L640" s="99">
        <v>0</v>
      </c>
      <c r="M640" s="99">
        <v>0</v>
      </c>
      <c r="N640" s="5"/>
      <c r="O640" s="2"/>
      <c r="P640" s="2"/>
      <c r="Q640" s="2"/>
      <c r="R640" s="2"/>
      <c r="S640" s="2"/>
    </row>
    <row r="641" spans="1:19" s="6" customFormat="1" ht="27.95" customHeight="1" x14ac:dyDescent="0.25">
      <c r="A641" s="579" t="s">
        <v>413</v>
      </c>
      <c r="B641" s="582" t="s">
        <v>412</v>
      </c>
      <c r="C641" s="58" t="s">
        <v>27</v>
      </c>
      <c r="D641" s="46">
        <v>771</v>
      </c>
      <c r="E641" s="98">
        <f>SUM(E642:E647)</f>
        <v>0</v>
      </c>
      <c r="F641" s="98">
        <f t="shared" ref="F641:L641" si="114">SUM(F642:F647)</f>
        <v>120</v>
      </c>
      <c r="G641" s="98">
        <f t="shared" si="114"/>
        <v>0</v>
      </c>
      <c r="H641" s="98">
        <f t="shared" si="114"/>
        <v>0</v>
      </c>
      <c r="I641" s="98">
        <f t="shared" si="114"/>
        <v>0</v>
      </c>
      <c r="J641" s="98">
        <f t="shared" si="114"/>
        <v>0</v>
      </c>
      <c r="K641" s="98">
        <f t="shared" si="114"/>
        <v>0</v>
      </c>
      <c r="L641" s="98">
        <f t="shared" si="114"/>
        <v>0</v>
      </c>
      <c r="M641" s="98">
        <f t="shared" ref="M641" si="115">SUM(E641:L641)</f>
        <v>120</v>
      </c>
      <c r="N641" s="5"/>
      <c r="O641" s="2"/>
      <c r="P641" s="2"/>
      <c r="Q641" s="2"/>
      <c r="R641" s="2"/>
      <c r="S641" s="2"/>
    </row>
    <row r="642" spans="1:19" s="6" customFormat="1" ht="42" customHeight="1" x14ac:dyDescent="0.25">
      <c r="A642" s="580"/>
      <c r="B642" s="583"/>
      <c r="C642" s="67" t="s">
        <v>93</v>
      </c>
      <c r="D642" s="46"/>
      <c r="E642" s="79">
        <v>0</v>
      </c>
      <c r="F642" s="99">
        <v>0</v>
      </c>
      <c r="G642" s="99">
        <v>0</v>
      </c>
      <c r="H642" s="99">
        <v>0</v>
      </c>
      <c r="I642" s="99">
        <v>0</v>
      </c>
      <c r="J642" s="99">
        <v>0</v>
      </c>
      <c r="K642" s="99">
        <v>0</v>
      </c>
      <c r="L642" s="99">
        <v>0</v>
      </c>
      <c r="M642" s="99">
        <v>0</v>
      </c>
      <c r="N642" s="5"/>
      <c r="O642" s="2"/>
      <c r="P642" s="2"/>
      <c r="Q642" s="2"/>
      <c r="R642" s="2"/>
      <c r="S642" s="2"/>
    </row>
    <row r="643" spans="1:19" s="6" customFormat="1" ht="27.95" customHeight="1" x14ac:dyDescent="0.25">
      <c r="A643" s="580"/>
      <c r="B643" s="583"/>
      <c r="C643" s="67" t="s">
        <v>94</v>
      </c>
      <c r="D643" s="46">
        <v>771</v>
      </c>
      <c r="E643" s="99">
        <f>'Приложение 5'!H256</f>
        <v>0</v>
      </c>
      <c r="F643" s="99">
        <f>'Приложение 5'!I256</f>
        <v>120</v>
      </c>
      <c r="G643" s="99">
        <f>'Приложение 5'!J256</f>
        <v>0</v>
      </c>
      <c r="H643" s="99">
        <f>'Приложение 5'!K256</f>
        <v>0</v>
      </c>
      <c r="I643" s="99">
        <f>'Приложение 5'!L256</f>
        <v>0</v>
      </c>
      <c r="J643" s="99">
        <f>'Приложение 5'!M256</f>
        <v>0</v>
      </c>
      <c r="K643" s="99">
        <f>'Приложение 5'!N256</f>
        <v>0</v>
      </c>
      <c r="L643" s="99">
        <f>'Приложение 5'!O256</f>
        <v>0</v>
      </c>
      <c r="M643" s="99">
        <f>'Приложение 5'!P256</f>
        <v>120</v>
      </c>
      <c r="N643" s="5"/>
      <c r="O643" s="2"/>
      <c r="P643" s="2"/>
      <c r="Q643" s="2"/>
      <c r="R643" s="2"/>
      <c r="S643" s="2"/>
    </row>
    <row r="644" spans="1:19" s="6" customFormat="1" ht="57" customHeight="1" x14ac:dyDescent="0.25">
      <c r="A644" s="580"/>
      <c r="B644" s="583"/>
      <c r="C644" s="67" t="s">
        <v>95</v>
      </c>
      <c r="D644" s="46"/>
      <c r="E644" s="99">
        <v>0</v>
      </c>
      <c r="F644" s="99">
        <v>0</v>
      </c>
      <c r="G644" s="99">
        <v>0</v>
      </c>
      <c r="H644" s="99">
        <v>0</v>
      </c>
      <c r="I644" s="99">
        <v>0</v>
      </c>
      <c r="J644" s="99">
        <v>0</v>
      </c>
      <c r="K644" s="99">
        <v>0</v>
      </c>
      <c r="L644" s="99">
        <v>0</v>
      </c>
      <c r="M644" s="99">
        <v>0</v>
      </c>
      <c r="N644" s="5"/>
      <c r="O644" s="2"/>
      <c r="P644" s="2"/>
      <c r="Q644" s="2"/>
      <c r="R644" s="2"/>
      <c r="S644" s="2"/>
    </row>
    <row r="645" spans="1:19" s="6" customFormat="1" ht="83.1" customHeight="1" x14ac:dyDescent="0.25">
      <c r="A645" s="580"/>
      <c r="B645" s="583"/>
      <c r="C645" s="67" t="s">
        <v>96</v>
      </c>
      <c r="D645" s="46"/>
      <c r="E645" s="99">
        <v>0</v>
      </c>
      <c r="F645" s="99">
        <v>0</v>
      </c>
      <c r="G645" s="99">
        <v>0</v>
      </c>
      <c r="H645" s="99">
        <v>0</v>
      </c>
      <c r="I645" s="99">
        <v>0</v>
      </c>
      <c r="J645" s="99">
        <v>0</v>
      </c>
      <c r="K645" s="99">
        <v>0</v>
      </c>
      <c r="L645" s="99">
        <v>0</v>
      </c>
      <c r="M645" s="99">
        <v>0</v>
      </c>
      <c r="N645" s="5"/>
      <c r="O645" s="2"/>
      <c r="P645" s="2"/>
      <c r="Q645" s="2"/>
      <c r="R645" s="2"/>
      <c r="S645" s="2"/>
    </row>
    <row r="646" spans="1:19" s="6" customFormat="1" ht="83.1" customHeight="1" x14ac:dyDescent="0.25">
      <c r="A646" s="580"/>
      <c r="B646" s="583"/>
      <c r="C646" s="67" t="s">
        <v>97</v>
      </c>
      <c r="D646" s="46"/>
      <c r="E646" s="99">
        <v>0</v>
      </c>
      <c r="F646" s="99">
        <v>0</v>
      </c>
      <c r="G646" s="99">
        <v>0</v>
      </c>
      <c r="H646" s="99">
        <v>0</v>
      </c>
      <c r="I646" s="99">
        <v>0</v>
      </c>
      <c r="J646" s="99">
        <v>0</v>
      </c>
      <c r="K646" s="99">
        <v>0</v>
      </c>
      <c r="L646" s="99">
        <v>0</v>
      </c>
      <c r="M646" s="99">
        <v>0</v>
      </c>
      <c r="N646" s="5"/>
      <c r="O646" s="2"/>
      <c r="P646" s="2"/>
      <c r="Q646" s="2"/>
      <c r="R646" s="2"/>
      <c r="S646" s="2"/>
    </row>
    <row r="647" spans="1:19" s="6" customFormat="1" ht="57" customHeight="1" x14ac:dyDescent="0.25">
      <c r="A647" s="581"/>
      <c r="B647" s="584"/>
      <c r="C647" s="67" t="s">
        <v>98</v>
      </c>
      <c r="D647" s="46"/>
      <c r="E647" s="99">
        <v>0</v>
      </c>
      <c r="F647" s="99">
        <v>0</v>
      </c>
      <c r="G647" s="99">
        <v>0</v>
      </c>
      <c r="H647" s="99">
        <v>0</v>
      </c>
      <c r="I647" s="99">
        <v>0</v>
      </c>
      <c r="J647" s="99">
        <v>0</v>
      </c>
      <c r="K647" s="99">
        <v>0</v>
      </c>
      <c r="L647" s="99">
        <v>0</v>
      </c>
      <c r="M647" s="99">
        <v>0</v>
      </c>
      <c r="N647" s="5"/>
      <c r="O647" s="2"/>
      <c r="P647" s="2"/>
      <c r="Q647" s="2"/>
      <c r="R647" s="2"/>
      <c r="S647" s="2"/>
    </row>
    <row r="648" spans="1:19" s="6" customFormat="1" ht="27.95" customHeight="1" x14ac:dyDescent="0.25">
      <c r="A648" s="599" t="s">
        <v>239</v>
      </c>
      <c r="B648" s="597" t="s">
        <v>252</v>
      </c>
      <c r="C648" s="58" t="s">
        <v>27</v>
      </c>
      <c r="D648" s="46">
        <v>771</v>
      </c>
      <c r="E648" s="98">
        <f>SUM(E649:E654)</f>
        <v>0</v>
      </c>
      <c r="F648" s="98">
        <f t="shared" ref="F648:L648" si="116">SUM(F649:F654)</f>
        <v>0</v>
      </c>
      <c r="G648" s="98">
        <f t="shared" si="116"/>
        <v>16550</v>
      </c>
      <c r="H648" s="98">
        <f t="shared" si="116"/>
        <v>19338.43</v>
      </c>
      <c r="I648" s="98">
        <f t="shared" si="116"/>
        <v>28000</v>
      </c>
      <c r="J648" s="98">
        <f t="shared" si="116"/>
        <v>28000</v>
      </c>
      <c r="K648" s="98">
        <f t="shared" si="116"/>
        <v>28000</v>
      </c>
      <c r="L648" s="98">
        <f t="shared" si="116"/>
        <v>28000</v>
      </c>
      <c r="M648" s="98">
        <f>SUM(E648:L648)</f>
        <v>147888.43</v>
      </c>
      <c r="N648" s="5"/>
      <c r="O648" s="2"/>
      <c r="P648" s="2"/>
      <c r="Q648" s="2"/>
      <c r="R648" s="2"/>
      <c r="S648" s="2"/>
    </row>
    <row r="649" spans="1:19" s="6" customFormat="1" ht="42" customHeight="1" x14ac:dyDescent="0.25">
      <c r="A649" s="595"/>
      <c r="B649" s="598"/>
      <c r="C649" s="67" t="s">
        <v>93</v>
      </c>
      <c r="D649" s="46"/>
      <c r="E649" s="79">
        <v>0</v>
      </c>
      <c r="F649" s="99">
        <v>0</v>
      </c>
      <c r="G649" s="99">
        <v>0</v>
      </c>
      <c r="H649" s="99">
        <v>0</v>
      </c>
      <c r="I649" s="99">
        <v>0</v>
      </c>
      <c r="J649" s="99">
        <v>0</v>
      </c>
      <c r="K649" s="99">
        <v>0</v>
      </c>
      <c r="L649" s="99">
        <v>0</v>
      </c>
      <c r="M649" s="99">
        <v>0</v>
      </c>
      <c r="N649" s="5"/>
      <c r="O649" s="2"/>
      <c r="P649" s="2"/>
      <c r="Q649" s="2"/>
      <c r="R649" s="2"/>
      <c r="S649" s="2"/>
    </row>
    <row r="650" spans="1:19" s="6" customFormat="1" ht="27.95" customHeight="1" x14ac:dyDescent="0.25">
      <c r="A650" s="595"/>
      <c r="B650" s="598"/>
      <c r="C650" s="67" t="s">
        <v>94</v>
      </c>
      <c r="D650" s="46">
        <v>771</v>
      </c>
      <c r="E650" s="99">
        <f>'Приложение 5'!H257</f>
        <v>0</v>
      </c>
      <c r="F650" s="99">
        <f>'Приложение 5'!I257</f>
        <v>0</v>
      </c>
      <c r="G650" s="99">
        <f>'Приложение 5'!J257</f>
        <v>16550</v>
      </c>
      <c r="H650" s="99">
        <f>'Приложение 5'!K258</f>
        <v>19338.43</v>
      </c>
      <c r="I650" s="99">
        <f>'Приложение 5'!L259</f>
        <v>28000</v>
      </c>
      <c r="J650" s="99">
        <f>'Приложение 5'!M259</f>
        <v>28000</v>
      </c>
      <c r="K650" s="99">
        <f>'Приложение 5'!N259</f>
        <v>28000</v>
      </c>
      <c r="L650" s="99">
        <f>'Приложение 5'!O259</f>
        <v>28000</v>
      </c>
      <c r="M650" s="99">
        <f>'Приложение 5'!P257</f>
        <v>147888.43</v>
      </c>
      <c r="N650" s="5"/>
      <c r="O650" s="2"/>
      <c r="P650" s="2"/>
      <c r="Q650" s="2"/>
      <c r="R650" s="2"/>
      <c r="S650" s="2"/>
    </row>
    <row r="651" spans="1:19" s="6" customFormat="1" ht="57" customHeight="1" x14ac:dyDescent="0.25">
      <c r="A651" s="595"/>
      <c r="B651" s="598"/>
      <c r="C651" s="67" t="s">
        <v>95</v>
      </c>
      <c r="D651" s="46"/>
      <c r="E651" s="99">
        <v>0</v>
      </c>
      <c r="F651" s="99">
        <v>0</v>
      </c>
      <c r="G651" s="99">
        <v>0</v>
      </c>
      <c r="H651" s="99">
        <v>0</v>
      </c>
      <c r="I651" s="99">
        <v>0</v>
      </c>
      <c r="J651" s="99">
        <v>0</v>
      </c>
      <c r="K651" s="99">
        <v>0</v>
      </c>
      <c r="L651" s="99">
        <v>0</v>
      </c>
      <c r="M651" s="99">
        <v>0</v>
      </c>
      <c r="N651" s="5"/>
      <c r="O651" s="2"/>
      <c r="P651" s="2"/>
      <c r="Q651" s="2"/>
      <c r="R651" s="2"/>
      <c r="S651" s="2"/>
    </row>
    <row r="652" spans="1:19" s="6" customFormat="1" ht="83.1" customHeight="1" x14ac:dyDescent="0.25">
      <c r="A652" s="595"/>
      <c r="B652" s="598"/>
      <c r="C652" s="67" t="s">
        <v>96</v>
      </c>
      <c r="D652" s="46"/>
      <c r="E652" s="99">
        <v>0</v>
      </c>
      <c r="F652" s="99">
        <v>0</v>
      </c>
      <c r="G652" s="99">
        <v>0</v>
      </c>
      <c r="H652" s="99">
        <v>0</v>
      </c>
      <c r="I652" s="99">
        <v>0</v>
      </c>
      <c r="J652" s="99">
        <v>0</v>
      </c>
      <c r="K652" s="99">
        <v>0</v>
      </c>
      <c r="L652" s="99">
        <v>0</v>
      </c>
      <c r="M652" s="99">
        <v>0</v>
      </c>
      <c r="N652" s="5"/>
      <c r="O652" s="2"/>
      <c r="P652" s="2"/>
      <c r="Q652" s="2"/>
      <c r="R652" s="2"/>
      <c r="S652" s="2"/>
    </row>
    <row r="653" spans="1:19" s="6" customFormat="1" ht="83.1" customHeight="1" x14ac:dyDescent="0.25">
      <c r="A653" s="595"/>
      <c r="B653" s="598"/>
      <c r="C653" s="67" t="s">
        <v>97</v>
      </c>
      <c r="D653" s="46"/>
      <c r="E653" s="99">
        <v>0</v>
      </c>
      <c r="F653" s="99">
        <v>0</v>
      </c>
      <c r="G653" s="99">
        <v>0</v>
      </c>
      <c r="H653" s="99">
        <v>0</v>
      </c>
      <c r="I653" s="99">
        <v>0</v>
      </c>
      <c r="J653" s="99">
        <v>0</v>
      </c>
      <c r="K653" s="99">
        <v>0</v>
      </c>
      <c r="L653" s="99">
        <v>0</v>
      </c>
      <c r="M653" s="99">
        <v>0</v>
      </c>
      <c r="N653" s="5"/>
      <c r="O653" s="2"/>
      <c r="P653" s="2"/>
      <c r="Q653" s="2"/>
      <c r="R653" s="2"/>
      <c r="S653" s="2"/>
    </row>
    <row r="654" spans="1:19" s="6" customFormat="1" ht="57" customHeight="1" x14ac:dyDescent="0.25">
      <c r="A654" s="596"/>
      <c r="B654" s="626"/>
      <c r="C654" s="67" t="s">
        <v>98</v>
      </c>
      <c r="D654" s="46"/>
      <c r="E654" s="99">
        <v>0</v>
      </c>
      <c r="F654" s="99">
        <v>0</v>
      </c>
      <c r="G654" s="99">
        <v>0</v>
      </c>
      <c r="H654" s="99">
        <v>0</v>
      </c>
      <c r="I654" s="99">
        <v>0</v>
      </c>
      <c r="J654" s="99">
        <v>0</v>
      </c>
      <c r="K654" s="99">
        <v>0</v>
      </c>
      <c r="L654" s="99">
        <v>0</v>
      </c>
      <c r="M654" s="99">
        <v>0</v>
      </c>
      <c r="N654" s="5"/>
      <c r="O654" s="2"/>
      <c r="P654" s="2"/>
      <c r="Q654" s="2"/>
      <c r="R654" s="2"/>
      <c r="S654" s="2"/>
    </row>
    <row r="655" spans="1:19" s="6" customFormat="1" ht="16.5" hidden="1" x14ac:dyDescent="0.25">
      <c r="A655" s="599" t="s">
        <v>239</v>
      </c>
      <c r="B655" s="600" t="e">
        <f>'Приложение 5'!#REF!</f>
        <v>#REF!</v>
      </c>
      <c r="C655" s="58" t="s">
        <v>27</v>
      </c>
      <c r="D655" s="46">
        <v>771</v>
      </c>
      <c r="E655" s="98" t="e">
        <f>SUM(E656:E661)</f>
        <v>#REF!</v>
      </c>
      <c r="F655" s="98" t="e">
        <f t="shared" ref="F655" si="117">SUM(F656:F661)</f>
        <v>#REF!</v>
      </c>
      <c r="G655" s="98" t="e">
        <f t="shared" ref="G655" si="118">SUM(G656:G661)</f>
        <v>#REF!</v>
      </c>
      <c r="H655" s="98" t="e">
        <f t="shared" ref="H655" si="119">SUM(H656:H661)</f>
        <v>#REF!</v>
      </c>
      <c r="I655" s="98" t="e">
        <f t="shared" ref="I655" si="120">SUM(I656:I661)</f>
        <v>#REF!</v>
      </c>
      <c r="J655" s="98" t="e">
        <f t="shared" ref="J655" si="121">SUM(J656:J661)</f>
        <v>#REF!</v>
      </c>
      <c r="K655" s="98" t="e">
        <f t="shared" ref="K655" si="122">SUM(K656:K661)</f>
        <v>#REF!</v>
      </c>
      <c r="L655" s="98" t="e">
        <f t="shared" ref="L655" si="123">SUM(L656:L661)</f>
        <v>#REF!</v>
      </c>
      <c r="M655" s="98" t="e">
        <f>SUM(E655:L655)</f>
        <v>#REF!</v>
      </c>
      <c r="N655" s="5"/>
      <c r="O655" s="2"/>
      <c r="P655" s="2"/>
      <c r="Q655" s="2"/>
      <c r="R655" s="2"/>
      <c r="S655" s="2"/>
    </row>
    <row r="656" spans="1:19" s="6" customFormat="1" ht="33" hidden="1" x14ac:dyDescent="0.25">
      <c r="A656" s="595"/>
      <c r="B656" s="601"/>
      <c r="C656" s="67" t="s">
        <v>93</v>
      </c>
      <c r="D656" s="46"/>
      <c r="E656" s="79">
        <v>0</v>
      </c>
      <c r="F656" s="99">
        <v>0</v>
      </c>
      <c r="G656" s="99">
        <v>0</v>
      </c>
      <c r="H656" s="99">
        <v>0</v>
      </c>
      <c r="I656" s="99">
        <v>0</v>
      </c>
      <c r="J656" s="99">
        <v>0</v>
      </c>
      <c r="K656" s="99">
        <v>0</v>
      </c>
      <c r="L656" s="99">
        <v>0</v>
      </c>
      <c r="M656" s="99">
        <v>0</v>
      </c>
      <c r="N656" s="5"/>
      <c r="O656" s="2"/>
      <c r="P656" s="2"/>
      <c r="Q656" s="2"/>
      <c r="R656" s="2"/>
      <c r="S656" s="2"/>
    </row>
    <row r="657" spans="1:19" s="6" customFormat="1" ht="16.5" hidden="1" x14ac:dyDescent="0.25">
      <c r="A657" s="595"/>
      <c r="B657" s="601"/>
      <c r="C657" s="67" t="s">
        <v>94</v>
      </c>
      <c r="D657" s="46">
        <v>771</v>
      </c>
      <c r="E657" s="99" t="e">
        <f>'Приложение 5'!#REF!</f>
        <v>#REF!</v>
      </c>
      <c r="F657" s="99" t="e">
        <f>'Приложение 5'!#REF!</f>
        <v>#REF!</v>
      </c>
      <c r="G657" s="99" t="e">
        <f>'Приложение 5'!#REF!</f>
        <v>#REF!</v>
      </c>
      <c r="H657" s="99" t="e">
        <f>'Приложение 5'!#REF!</f>
        <v>#REF!</v>
      </c>
      <c r="I657" s="99" t="e">
        <f>'Приложение 5'!#REF!</f>
        <v>#REF!</v>
      </c>
      <c r="J657" s="99" t="e">
        <f>'Приложение 5'!#REF!</f>
        <v>#REF!</v>
      </c>
      <c r="K657" s="99" t="e">
        <f>'Приложение 5'!#REF!</f>
        <v>#REF!</v>
      </c>
      <c r="L657" s="99" t="e">
        <f>'Приложение 5'!#REF!</f>
        <v>#REF!</v>
      </c>
      <c r="M657" s="99">
        <f>'Приложение 5'!P271</f>
        <v>0</v>
      </c>
      <c r="N657" s="5"/>
      <c r="O657" s="2"/>
      <c r="P657" s="2"/>
      <c r="Q657" s="2"/>
      <c r="R657" s="2"/>
      <c r="S657" s="2"/>
    </row>
    <row r="658" spans="1:19" s="6" customFormat="1" ht="49.5" hidden="1" x14ac:dyDescent="0.25">
      <c r="A658" s="595"/>
      <c r="B658" s="601"/>
      <c r="C658" s="67" t="s">
        <v>95</v>
      </c>
      <c r="D658" s="46"/>
      <c r="E658" s="99">
        <v>0</v>
      </c>
      <c r="F658" s="99">
        <v>0</v>
      </c>
      <c r="G658" s="99">
        <v>0</v>
      </c>
      <c r="H658" s="99">
        <v>0</v>
      </c>
      <c r="I658" s="99">
        <v>0</v>
      </c>
      <c r="J658" s="99">
        <v>0</v>
      </c>
      <c r="K658" s="99">
        <v>0</v>
      </c>
      <c r="L658" s="99">
        <v>0</v>
      </c>
      <c r="M658" s="99">
        <v>0</v>
      </c>
      <c r="N658" s="5"/>
      <c r="O658" s="2"/>
      <c r="P658" s="2"/>
      <c r="Q658" s="2"/>
      <c r="R658" s="2"/>
      <c r="S658" s="2"/>
    </row>
    <row r="659" spans="1:19" s="6" customFormat="1" ht="66" hidden="1" x14ac:dyDescent="0.25">
      <c r="A659" s="595"/>
      <c r="B659" s="601"/>
      <c r="C659" s="67" t="s">
        <v>96</v>
      </c>
      <c r="D659" s="46"/>
      <c r="E659" s="99">
        <v>0</v>
      </c>
      <c r="F659" s="99">
        <v>0</v>
      </c>
      <c r="G659" s="99">
        <v>0</v>
      </c>
      <c r="H659" s="99">
        <v>0</v>
      </c>
      <c r="I659" s="99">
        <v>0</v>
      </c>
      <c r="J659" s="99">
        <v>0</v>
      </c>
      <c r="K659" s="99">
        <v>0</v>
      </c>
      <c r="L659" s="99">
        <v>0</v>
      </c>
      <c r="M659" s="99">
        <v>0</v>
      </c>
      <c r="N659" s="5"/>
      <c r="O659" s="2"/>
      <c r="P659" s="2"/>
      <c r="Q659" s="2"/>
      <c r="R659" s="2"/>
      <c r="S659" s="2"/>
    </row>
    <row r="660" spans="1:19" s="6" customFormat="1" ht="66" hidden="1" x14ac:dyDescent="0.25">
      <c r="A660" s="595"/>
      <c r="B660" s="601"/>
      <c r="C660" s="67" t="s">
        <v>97</v>
      </c>
      <c r="D660" s="46"/>
      <c r="E660" s="99">
        <v>0</v>
      </c>
      <c r="F660" s="99">
        <v>0</v>
      </c>
      <c r="G660" s="99">
        <v>0</v>
      </c>
      <c r="H660" s="99">
        <v>0</v>
      </c>
      <c r="I660" s="99">
        <v>0</v>
      </c>
      <c r="J660" s="99">
        <v>0</v>
      </c>
      <c r="K660" s="99">
        <v>0</v>
      </c>
      <c r="L660" s="99">
        <v>0</v>
      </c>
      <c r="M660" s="99">
        <v>0</v>
      </c>
      <c r="N660" s="5"/>
      <c r="O660" s="2"/>
      <c r="P660" s="2"/>
      <c r="Q660" s="2"/>
      <c r="R660" s="2"/>
      <c r="S660" s="2"/>
    </row>
    <row r="661" spans="1:19" s="6" customFormat="1" ht="49.5" hidden="1" x14ac:dyDescent="0.25">
      <c r="A661" s="596"/>
      <c r="B661" s="602"/>
      <c r="C661" s="67" t="s">
        <v>98</v>
      </c>
      <c r="D661" s="46"/>
      <c r="E661" s="99">
        <v>0</v>
      </c>
      <c r="F661" s="99">
        <v>0</v>
      </c>
      <c r="G661" s="99">
        <v>0</v>
      </c>
      <c r="H661" s="99">
        <v>0</v>
      </c>
      <c r="I661" s="99">
        <v>0</v>
      </c>
      <c r="J661" s="99">
        <v>0</v>
      </c>
      <c r="K661" s="99">
        <v>0</v>
      </c>
      <c r="L661" s="99">
        <v>0</v>
      </c>
      <c r="M661" s="99">
        <v>0</v>
      </c>
      <c r="N661" s="5"/>
      <c r="O661" s="2"/>
      <c r="P661" s="2"/>
      <c r="Q661" s="2"/>
      <c r="R661" s="2"/>
      <c r="S661" s="2"/>
    </row>
    <row r="662" spans="1:19" s="7" customFormat="1" ht="27.95" customHeight="1" x14ac:dyDescent="0.2">
      <c r="A662" s="599" t="s">
        <v>326</v>
      </c>
      <c r="B662" s="571" t="s">
        <v>346</v>
      </c>
      <c r="C662" s="58" t="s">
        <v>27</v>
      </c>
      <c r="D662" s="46">
        <v>771</v>
      </c>
      <c r="E662" s="98">
        <f>SUM(E663:E668)</f>
        <v>0</v>
      </c>
      <c r="F662" s="98">
        <f t="shared" ref="F662:L662" si="124">SUM(F663:F668)</f>
        <v>0</v>
      </c>
      <c r="G662" s="98">
        <f t="shared" si="124"/>
        <v>0</v>
      </c>
      <c r="H662" s="98">
        <f>SUM(H663:H668)</f>
        <v>437.75</v>
      </c>
      <c r="I662" s="98">
        <f t="shared" si="124"/>
        <v>1450</v>
      </c>
      <c r="J662" s="98">
        <f t="shared" si="124"/>
        <v>1450</v>
      </c>
      <c r="K662" s="98">
        <f t="shared" si="124"/>
        <v>1450</v>
      </c>
      <c r="L662" s="98">
        <f t="shared" si="124"/>
        <v>450</v>
      </c>
      <c r="M662" s="98">
        <f>SUM(E662:L662)</f>
        <v>5237.75</v>
      </c>
      <c r="N662" s="5"/>
      <c r="O662" s="2"/>
      <c r="P662" s="2"/>
      <c r="Q662" s="2"/>
      <c r="R662" s="2"/>
      <c r="S662" s="2"/>
    </row>
    <row r="663" spans="1:19" s="7" customFormat="1" ht="42" customHeight="1" x14ac:dyDescent="0.2">
      <c r="A663" s="595"/>
      <c r="B663" s="572"/>
      <c r="C663" s="67" t="s">
        <v>93</v>
      </c>
      <c r="D663" s="46"/>
      <c r="E663" s="79">
        <v>0</v>
      </c>
      <c r="F663" s="99">
        <v>0</v>
      </c>
      <c r="G663" s="99">
        <v>0</v>
      </c>
      <c r="H663" s="99">
        <v>0</v>
      </c>
      <c r="I663" s="99">
        <v>0</v>
      </c>
      <c r="J663" s="99">
        <v>0</v>
      </c>
      <c r="K663" s="99">
        <v>0</v>
      </c>
      <c r="L663" s="99">
        <v>0</v>
      </c>
      <c r="M663" s="99">
        <v>0</v>
      </c>
      <c r="N663" s="5"/>
      <c r="O663" s="2"/>
      <c r="P663" s="2"/>
      <c r="Q663" s="2"/>
      <c r="R663" s="2"/>
      <c r="S663" s="2"/>
    </row>
    <row r="664" spans="1:19" s="7" customFormat="1" ht="27.95" customHeight="1" x14ac:dyDescent="0.2">
      <c r="A664" s="595"/>
      <c r="B664" s="572"/>
      <c r="C664" s="67" t="s">
        <v>94</v>
      </c>
      <c r="D664" s="46">
        <v>771</v>
      </c>
      <c r="E664" s="99">
        <f>'Приложение 5'!H260+'Приложение 5'!H261</f>
        <v>0</v>
      </c>
      <c r="F664" s="99">
        <f>'Приложение 5'!I260+'Приложение 5'!I261</f>
        <v>0</v>
      </c>
      <c r="G664" s="99">
        <f>'Приложение 5'!J260+'Приложение 5'!J261</f>
        <v>0</v>
      </c>
      <c r="H664" s="99">
        <f>'Приложение 5'!K260+'Приложение 5'!K262</f>
        <v>437.75</v>
      </c>
      <c r="I664" s="99">
        <f>'Приложение 5'!L261+'Приложение 5'!L263</f>
        <v>1450</v>
      </c>
      <c r="J664" s="99">
        <f>'Приложение 5'!M261+'Приложение 5'!M263</f>
        <v>1450</v>
      </c>
      <c r="K664" s="99">
        <f>'Приложение 5'!N261+'Приложение 5'!N263</f>
        <v>1450</v>
      </c>
      <c r="L664" s="99">
        <f>'Приложение 5'!O260+'Приложение 5'!O261</f>
        <v>450</v>
      </c>
      <c r="M664" s="99">
        <f>E664+F664+G664+H664+I664+J664+K664+L664</f>
        <v>5237.75</v>
      </c>
      <c r="N664" s="5"/>
      <c r="O664" s="2"/>
      <c r="P664" s="2"/>
      <c r="Q664" s="2"/>
      <c r="R664" s="2"/>
      <c r="S664" s="2"/>
    </row>
    <row r="665" spans="1:19" s="7" customFormat="1" ht="66.75" customHeight="1" x14ac:dyDescent="0.2">
      <c r="A665" s="595"/>
      <c r="B665" s="572"/>
      <c r="C665" s="67" t="s">
        <v>95</v>
      </c>
      <c r="D665" s="46"/>
      <c r="E665" s="99">
        <v>0</v>
      </c>
      <c r="F665" s="99">
        <v>0</v>
      </c>
      <c r="G665" s="99">
        <v>0</v>
      </c>
      <c r="H665" s="99">
        <v>0</v>
      </c>
      <c r="I665" s="99">
        <v>0</v>
      </c>
      <c r="J665" s="99">
        <v>0</v>
      </c>
      <c r="K665" s="99">
        <v>0</v>
      </c>
      <c r="L665" s="99">
        <v>0</v>
      </c>
      <c r="M665" s="99">
        <v>0</v>
      </c>
      <c r="N665" s="5"/>
      <c r="O665" s="2"/>
      <c r="P665" s="2"/>
      <c r="Q665" s="2"/>
      <c r="R665" s="2"/>
      <c r="S665" s="2"/>
    </row>
    <row r="666" spans="1:19" s="7" customFormat="1" ht="90.75" customHeight="1" x14ac:dyDescent="0.2">
      <c r="A666" s="595"/>
      <c r="B666" s="572"/>
      <c r="C666" s="67" t="s">
        <v>96</v>
      </c>
      <c r="D666" s="46"/>
      <c r="E666" s="99">
        <v>0</v>
      </c>
      <c r="F666" s="99">
        <v>0</v>
      </c>
      <c r="G666" s="99">
        <v>0</v>
      </c>
      <c r="H666" s="99">
        <v>0</v>
      </c>
      <c r="I666" s="99">
        <v>0</v>
      </c>
      <c r="J666" s="99">
        <v>0</v>
      </c>
      <c r="K666" s="99">
        <v>0</v>
      </c>
      <c r="L666" s="99">
        <v>0</v>
      </c>
      <c r="M666" s="99">
        <v>0</v>
      </c>
      <c r="N666" s="5"/>
      <c r="O666" s="2"/>
      <c r="P666" s="2"/>
      <c r="Q666" s="2"/>
      <c r="R666" s="2"/>
      <c r="S666" s="2"/>
    </row>
    <row r="667" spans="1:19" s="7" customFormat="1" ht="87.75" customHeight="1" x14ac:dyDescent="0.2">
      <c r="A667" s="595"/>
      <c r="B667" s="572"/>
      <c r="C667" s="67" t="s">
        <v>97</v>
      </c>
      <c r="D667" s="46"/>
      <c r="E667" s="99">
        <v>0</v>
      </c>
      <c r="F667" s="99">
        <v>0</v>
      </c>
      <c r="G667" s="99">
        <v>0</v>
      </c>
      <c r="H667" s="99">
        <v>0</v>
      </c>
      <c r="I667" s="99">
        <v>0</v>
      </c>
      <c r="J667" s="99">
        <v>0</v>
      </c>
      <c r="K667" s="99">
        <v>0</v>
      </c>
      <c r="L667" s="99">
        <v>0</v>
      </c>
      <c r="M667" s="99">
        <v>0</v>
      </c>
      <c r="N667" s="5"/>
      <c r="O667" s="2"/>
      <c r="P667" s="2"/>
      <c r="Q667" s="2"/>
      <c r="R667" s="2"/>
      <c r="S667" s="2"/>
    </row>
    <row r="668" spans="1:19" s="7" customFormat="1" ht="57" customHeight="1" x14ac:dyDescent="0.2">
      <c r="A668" s="596"/>
      <c r="B668" s="573"/>
      <c r="C668" s="67" t="s">
        <v>98</v>
      </c>
      <c r="D668" s="46"/>
      <c r="E668" s="99">
        <v>0</v>
      </c>
      <c r="F668" s="99">
        <v>0</v>
      </c>
      <c r="G668" s="99">
        <v>0</v>
      </c>
      <c r="H668" s="99">
        <v>0</v>
      </c>
      <c r="I668" s="99">
        <v>0</v>
      </c>
      <c r="J668" s="99">
        <v>0</v>
      </c>
      <c r="K668" s="99">
        <v>0</v>
      </c>
      <c r="L668" s="99">
        <v>0</v>
      </c>
      <c r="M668" s="99">
        <v>0</v>
      </c>
      <c r="N668" s="5"/>
      <c r="O668" s="2"/>
      <c r="P668" s="2"/>
      <c r="Q668" s="2"/>
      <c r="R668" s="2"/>
      <c r="S668" s="2"/>
    </row>
    <row r="669" spans="1:19" s="7" customFormat="1" ht="27.95" customHeight="1" x14ac:dyDescent="0.2">
      <c r="A669" s="594" t="s">
        <v>417</v>
      </c>
      <c r="B669" s="574" t="s">
        <v>416</v>
      </c>
      <c r="C669" s="58" t="s">
        <v>27</v>
      </c>
      <c r="D669" s="46">
        <v>771</v>
      </c>
      <c r="E669" s="98">
        <f>SUM(E670:E675)</f>
        <v>2300</v>
      </c>
      <c r="F669" s="98">
        <f t="shared" ref="F669:L669" si="125">SUM(F670:F675)</f>
        <v>0</v>
      </c>
      <c r="G669" s="98">
        <f t="shared" si="125"/>
        <v>11605.5</v>
      </c>
      <c r="H669" s="98">
        <f t="shared" si="125"/>
        <v>13267.51</v>
      </c>
      <c r="I669" s="98">
        <f t="shared" si="125"/>
        <v>13231.96</v>
      </c>
      <c r="J669" s="98">
        <f t="shared" si="125"/>
        <v>13231.96</v>
      </c>
      <c r="K669" s="98">
        <f t="shared" si="125"/>
        <v>13231.96</v>
      </c>
      <c r="L669" s="98">
        <f t="shared" si="125"/>
        <v>13231.96</v>
      </c>
      <c r="M669" s="98">
        <f>SUM(E669:L669)</f>
        <v>80100.850000000006</v>
      </c>
      <c r="N669" s="5"/>
      <c r="O669" s="2"/>
      <c r="P669" s="2"/>
      <c r="Q669" s="2"/>
      <c r="R669" s="2"/>
      <c r="S669" s="2"/>
    </row>
    <row r="670" spans="1:19" s="7" customFormat="1" ht="42" customHeight="1" x14ac:dyDescent="0.2">
      <c r="A670" s="595"/>
      <c r="B670" s="575"/>
      <c r="C670" s="67" t="s">
        <v>93</v>
      </c>
      <c r="D670" s="46"/>
      <c r="E670" s="79">
        <v>0</v>
      </c>
      <c r="F670" s="99">
        <v>0</v>
      </c>
      <c r="G670" s="99">
        <v>0</v>
      </c>
      <c r="H670" s="99">
        <v>0</v>
      </c>
      <c r="I670" s="99">
        <v>0</v>
      </c>
      <c r="J670" s="99">
        <v>0</v>
      </c>
      <c r="K670" s="99">
        <v>0</v>
      </c>
      <c r="L670" s="99">
        <v>0</v>
      </c>
      <c r="M670" s="99">
        <v>0</v>
      </c>
      <c r="N670" s="5"/>
      <c r="O670" s="2"/>
      <c r="P670" s="2"/>
      <c r="Q670" s="2"/>
      <c r="R670" s="2"/>
      <c r="S670" s="2"/>
    </row>
    <row r="671" spans="1:19" s="7" customFormat="1" ht="27.95" customHeight="1" x14ac:dyDescent="0.2">
      <c r="A671" s="595"/>
      <c r="B671" s="575"/>
      <c r="C671" s="67" t="s">
        <v>94</v>
      </c>
      <c r="D671" s="46">
        <v>771</v>
      </c>
      <c r="E671" s="99">
        <f>'Приложение 5'!H265</f>
        <v>2300</v>
      </c>
      <c r="F671" s="99">
        <f>'Приложение 5'!I265</f>
        <v>0</v>
      </c>
      <c r="G671" s="99">
        <f>'Приложение 5'!J265</f>
        <v>11605.5</v>
      </c>
      <c r="H671" s="99">
        <f>'Приложение 5'!K264</f>
        <v>13267.51</v>
      </c>
      <c r="I671" s="99">
        <f>'Приложение 5'!L264</f>
        <v>13231.96</v>
      </c>
      <c r="J671" s="99">
        <f>'Приложение 5'!M264</f>
        <v>13231.96</v>
      </c>
      <c r="K671" s="99">
        <f>'Приложение 5'!N264</f>
        <v>13231.96</v>
      </c>
      <c r="L671" s="99">
        <f>'Приложение 5'!O264</f>
        <v>13231.96</v>
      </c>
      <c r="M671" s="99">
        <f>'Приложение 5'!P264</f>
        <v>80100.850000000006</v>
      </c>
      <c r="N671" s="5"/>
      <c r="O671" s="2"/>
      <c r="P671" s="2"/>
      <c r="Q671" s="2"/>
      <c r="R671" s="2"/>
      <c r="S671" s="2"/>
    </row>
    <row r="672" spans="1:19" s="7" customFormat="1" ht="57" customHeight="1" x14ac:dyDescent="0.2">
      <c r="A672" s="595"/>
      <c r="B672" s="575"/>
      <c r="C672" s="67" t="s">
        <v>95</v>
      </c>
      <c r="D672" s="46"/>
      <c r="E672" s="99">
        <v>0</v>
      </c>
      <c r="F672" s="99">
        <v>0</v>
      </c>
      <c r="G672" s="99">
        <v>0</v>
      </c>
      <c r="H672" s="99">
        <v>0</v>
      </c>
      <c r="I672" s="99">
        <v>0</v>
      </c>
      <c r="J672" s="99">
        <v>0</v>
      </c>
      <c r="K672" s="99">
        <v>0</v>
      </c>
      <c r="L672" s="99">
        <v>0</v>
      </c>
      <c r="M672" s="99">
        <v>0</v>
      </c>
      <c r="N672" s="5"/>
      <c r="O672" s="2"/>
      <c r="P672" s="2"/>
      <c r="Q672" s="2"/>
      <c r="R672" s="2"/>
      <c r="S672" s="2"/>
    </row>
    <row r="673" spans="1:19" s="7" customFormat="1" ht="83.1" customHeight="1" x14ac:dyDescent="0.2">
      <c r="A673" s="595"/>
      <c r="B673" s="575"/>
      <c r="C673" s="67" t="s">
        <v>96</v>
      </c>
      <c r="D673" s="46"/>
      <c r="E673" s="99">
        <v>0</v>
      </c>
      <c r="F673" s="99">
        <v>0</v>
      </c>
      <c r="G673" s="99">
        <v>0</v>
      </c>
      <c r="H673" s="99">
        <v>0</v>
      </c>
      <c r="I673" s="99">
        <v>0</v>
      </c>
      <c r="J673" s="99">
        <v>0</v>
      </c>
      <c r="K673" s="99">
        <v>0</v>
      </c>
      <c r="L673" s="99">
        <v>0</v>
      </c>
      <c r="M673" s="99">
        <v>0</v>
      </c>
      <c r="N673" s="5"/>
      <c r="O673" s="2"/>
      <c r="P673" s="2"/>
      <c r="Q673" s="2"/>
      <c r="R673" s="2"/>
      <c r="S673" s="2"/>
    </row>
    <row r="674" spans="1:19" s="7" customFormat="1" ht="83.1" customHeight="1" x14ac:dyDescent="0.2">
      <c r="A674" s="595"/>
      <c r="B674" s="575"/>
      <c r="C674" s="67" t="s">
        <v>97</v>
      </c>
      <c r="D674" s="46"/>
      <c r="E674" s="99">
        <v>0</v>
      </c>
      <c r="F674" s="99">
        <v>0</v>
      </c>
      <c r="G674" s="99">
        <v>0</v>
      </c>
      <c r="H674" s="99">
        <v>0</v>
      </c>
      <c r="I674" s="99">
        <v>0</v>
      </c>
      <c r="J674" s="99">
        <v>0</v>
      </c>
      <c r="K674" s="99">
        <v>0</v>
      </c>
      <c r="L674" s="99">
        <v>0</v>
      </c>
      <c r="M674" s="99">
        <v>0</v>
      </c>
      <c r="N674" s="5"/>
      <c r="O674" s="2"/>
      <c r="P674" s="2"/>
      <c r="Q674" s="2"/>
      <c r="R674" s="2"/>
      <c r="S674" s="2"/>
    </row>
    <row r="675" spans="1:19" s="7" customFormat="1" ht="57" customHeight="1" x14ac:dyDescent="0.2">
      <c r="A675" s="596"/>
      <c r="B675" s="576"/>
      <c r="C675" s="67" t="s">
        <v>98</v>
      </c>
      <c r="D675" s="46"/>
      <c r="E675" s="99">
        <v>0</v>
      </c>
      <c r="F675" s="99">
        <v>0</v>
      </c>
      <c r="G675" s="99">
        <v>0</v>
      </c>
      <c r="H675" s="99">
        <v>0</v>
      </c>
      <c r="I675" s="99">
        <v>0</v>
      </c>
      <c r="J675" s="99">
        <v>0</v>
      </c>
      <c r="K675" s="99">
        <v>0</v>
      </c>
      <c r="L675" s="99">
        <v>0</v>
      </c>
      <c r="M675" s="99">
        <v>0</v>
      </c>
      <c r="N675" s="5"/>
      <c r="O675" s="2"/>
      <c r="P675" s="2"/>
      <c r="Q675" s="2"/>
      <c r="R675" s="2"/>
      <c r="S675" s="2"/>
    </row>
    <row r="676" spans="1:19" s="6" customFormat="1" ht="27.95" customHeight="1" x14ac:dyDescent="0.25">
      <c r="A676" s="562" t="s">
        <v>240</v>
      </c>
      <c r="B676" s="597" t="s">
        <v>396</v>
      </c>
      <c r="C676" s="58" t="s">
        <v>27</v>
      </c>
      <c r="D676" s="46">
        <v>771</v>
      </c>
      <c r="E676" s="98">
        <f>SUM(E677:E682)</f>
        <v>0</v>
      </c>
      <c r="F676" s="98">
        <f t="shared" ref="F676:L676" si="126">SUM(F677:F682)</f>
        <v>0</v>
      </c>
      <c r="G676" s="98">
        <f t="shared" si="126"/>
        <v>11605.5</v>
      </c>
      <c r="H676" s="98">
        <f t="shared" si="126"/>
        <v>13207.51</v>
      </c>
      <c r="I676" s="98">
        <f t="shared" si="126"/>
        <v>13026.96</v>
      </c>
      <c r="J676" s="98">
        <f t="shared" si="126"/>
        <v>13231.96</v>
      </c>
      <c r="K676" s="98">
        <f t="shared" si="126"/>
        <v>13231.96</v>
      </c>
      <c r="L676" s="98">
        <f t="shared" si="126"/>
        <v>13231.96</v>
      </c>
      <c r="M676" s="98">
        <f>SUM(E676:L676)</f>
        <v>77535.850000000006</v>
      </c>
      <c r="N676" s="5"/>
      <c r="O676" s="2"/>
      <c r="P676" s="2"/>
      <c r="Q676" s="2"/>
      <c r="R676" s="2"/>
      <c r="S676" s="2"/>
    </row>
    <row r="677" spans="1:19" s="6" customFormat="1" ht="42" customHeight="1" x14ac:dyDescent="0.25">
      <c r="A677" s="563"/>
      <c r="B677" s="598"/>
      <c r="C677" s="67" t="s">
        <v>93</v>
      </c>
      <c r="D677" s="46"/>
      <c r="E677" s="79">
        <v>0</v>
      </c>
      <c r="F677" s="99">
        <v>0</v>
      </c>
      <c r="G677" s="99">
        <v>0</v>
      </c>
      <c r="H677" s="99">
        <v>0</v>
      </c>
      <c r="I677" s="99">
        <v>0</v>
      </c>
      <c r="J677" s="99">
        <v>0</v>
      </c>
      <c r="K677" s="99">
        <v>0</v>
      </c>
      <c r="L677" s="99">
        <v>0</v>
      </c>
      <c r="M677" s="99">
        <v>0</v>
      </c>
      <c r="N677" s="5"/>
      <c r="O677" s="2"/>
      <c r="P677" s="2"/>
      <c r="Q677" s="2"/>
      <c r="R677" s="2"/>
      <c r="S677" s="2"/>
    </row>
    <row r="678" spans="1:19" s="6" customFormat="1" ht="27.95" customHeight="1" x14ac:dyDescent="0.25">
      <c r="A678" s="563"/>
      <c r="B678" s="598"/>
      <c r="C678" s="67" t="s">
        <v>94</v>
      </c>
      <c r="D678" s="46">
        <v>771</v>
      </c>
      <c r="E678" s="99">
        <f>'Приложение 5'!H267+'Приложение 5'!H268+'Приложение 5'!H269+'Приложение 5'!H270</f>
        <v>0</v>
      </c>
      <c r="F678" s="99">
        <f>'Приложение 5'!I267+'Приложение 5'!I268+'Приложение 5'!I269+'Приложение 5'!I270</f>
        <v>0</v>
      </c>
      <c r="G678" s="99">
        <f>'Приложение 5'!J267+'Приложение 5'!J268+'Приложение 5'!J269+'Приложение 5'!J270</f>
        <v>11605.5</v>
      </c>
      <c r="H678" s="99">
        <f>'Приложение 5'!K271+'Приложение 5'!K272+'Приложение 5'!K273+'Приложение 5'!K274+'Приложение 5'!K275</f>
        <v>13207.51</v>
      </c>
      <c r="I678" s="99">
        <f>'Приложение 5'!L276+'Приложение 5'!L277+'Приложение 5'!L278+'Приложение 5'!L279+'Приложение 5'!L280</f>
        <v>13026.96</v>
      </c>
      <c r="J678" s="99">
        <f>'Приложение 5'!M276+'Приложение 5'!M277+'Приложение 5'!M278+'Приложение 5'!M279+'Приложение 5'!M280</f>
        <v>13231.96</v>
      </c>
      <c r="K678" s="99">
        <f>'Приложение 5'!N276+'Приложение 5'!N277+'Приложение 5'!N278+'Приложение 5'!N279+'Приложение 5'!N280</f>
        <v>13231.96</v>
      </c>
      <c r="L678" s="99">
        <f>'Приложение 5'!O275+'Приложение 5'!O276+'Приложение 5'!O277+'Приложение 5'!O278+'Приложение 5'!O279+'Приложение 5'!O280</f>
        <v>13231.96</v>
      </c>
      <c r="M678" s="99">
        <f>SUM(E678:L678)</f>
        <v>77535.850000000006</v>
      </c>
      <c r="N678" s="5"/>
      <c r="O678" s="2"/>
      <c r="P678" s="2"/>
      <c r="Q678" s="2"/>
      <c r="R678" s="2"/>
      <c r="S678" s="2"/>
    </row>
    <row r="679" spans="1:19" s="6" customFormat="1" ht="57" customHeight="1" x14ac:dyDescent="0.25">
      <c r="A679" s="563"/>
      <c r="B679" s="598"/>
      <c r="C679" s="67" t="s">
        <v>95</v>
      </c>
      <c r="D679" s="46"/>
      <c r="E679" s="99">
        <v>0</v>
      </c>
      <c r="F679" s="99">
        <v>0</v>
      </c>
      <c r="G679" s="99">
        <v>0</v>
      </c>
      <c r="H679" s="99">
        <v>0</v>
      </c>
      <c r="I679" s="99">
        <v>0</v>
      </c>
      <c r="J679" s="99">
        <v>0</v>
      </c>
      <c r="K679" s="99">
        <v>0</v>
      </c>
      <c r="L679" s="99">
        <v>0</v>
      </c>
      <c r="M679" s="99">
        <v>0</v>
      </c>
      <c r="N679" s="5"/>
      <c r="O679" s="2"/>
      <c r="P679" s="2"/>
      <c r="Q679" s="2"/>
      <c r="R679" s="2"/>
      <c r="S679" s="2"/>
    </row>
    <row r="680" spans="1:19" s="6" customFormat="1" ht="83.1" customHeight="1" x14ac:dyDescent="0.25">
      <c r="A680" s="563"/>
      <c r="B680" s="598"/>
      <c r="C680" s="67" t="s">
        <v>96</v>
      </c>
      <c r="D680" s="46"/>
      <c r="E680" s="99">
        <v>0</v>
      </c>
      <c r="F680" s="99">
        <v>0</v>
      </c>
      <c r="G680" s="99">
        <v>0</v>
      </c>
      <c r="H680" s="99">
        <v>0</v>
      </c>
      <c r="I680" s="99">
        <v>0</v>
      </c>
      <c r="J680" s="99">
        <v>0</v>
      </c>
      <c r="K680" s="99">
        <v>0</v>
      </c>
      <c r="L680" s="99">
        <v>0</v>
      </c>
      <c r="M680" s="99">
        <v>0</v>
      </c>
      <c r="N680" s="5"/>
      <c r="O680" s="2"/>
      <c r="P680" s="2"/>
      <c r="Q680" s="2"/>
      <c r="R680" s="2"/>
      <c r="S680" s="2"/>
    </row>
    <row r="681" spans="1:19" s="6" customFormat="1" ht="83.1" customHeight="1" x14ac:dyDescent="0.25">
      <c r="A681" s="563"/>
      <c r="B681" s="598"/>
      <c r="C681" s="67" t="s">
        <v>97</v>
      </c>
      <c r="D681" s="46"/>
      <c r="E681" s="99">
        <v>0</v>
      </c>
      <c r="F681" s="99">
        <v>0</v>
      </c>
      <c r="G681" s="99">
        <v>0</v>
      </c>
      <c r="H681" s="99">
        <v>0</v>
      </c>
      <c r="I681" s="99">
        <v>0</v>
      </c>
      <c r="J681" s="99">
        <v>0</v>
      </c>
      <c r="K681" s="99">
        <v>0</v>
      </c>
      <c r="L681" s="99">
        <v>0</v>
      </c>
      <c r="M681" s="99">
        <v>0</v>
      </c>
      <c r="N681" s="5"/>
      <c r="O681" s="2"/>
      <c r="P681" s="2"/>
      <c r="Q681" s="2"/>
      <c r="R681" s="2"/>
      <c r="S681" s="2"/>
    </row>
    <row r="682" spans="1:19" s="6" customFormat="1" ht="57" customHeight="1" x14ac:dyDescent="0.25">
      <c r="A682" s="563"/>
      <c r="B682" s="598"/>
      <c r="C682" s="67" t="s">
        <v>98</v>
      </c>
      <c r="D682" s="46"/>
      <c r="E682" s="99">
        <v>0</v>
      </c>
      <c r="F682" s="99">
        <v>0</v>
      </c>
      <c r="G682" s="99">
        <v>0</v>
      </c>
      <c r="H682" s="99">
        <v>0</v>
      </c>
      <c r="I682" s="99">
        <v>0</v>
      </c>
      <c r="J682" s="99">
        <v>0</v>
      </c>
      <c r="K682" s="99">
        <v>0</v>
      </c>
      <c r="L682" s="99">
        <v>0</v>
      </c>
      <c r="M682" s="99">
        <v>0</v>
      </c>
      <c r="N682" s="5"/>
      <c r="O682" s="2"/>
      <c r="P682" s="2"/>
      <c r="Q682" s="2"/>
      <c r="R682" s="2"/>
      <c r="S682" s="2"/>
    </row>
    <row r="683" spans="1:19" s="1" customFormat="1" ht="27.95" customHeight="1" x14ac:dyDescent="0.25">
      <c r="A683" s="562" t="s">
        <v>242</v>
      </c>
      <c r="B683" s="571" t="s">
        <v>321</v>
      </c>
      <c r="C683" s="58" t="s">
        <v>27</v>
      </c>
      <c r="D683" s="46">
        <v>771</v>
      </c>
      <c r="E683" s="98">
        <f>SUM(E684:E689)</f>
        <v>0</v>
      </c>
      <c r="F683" s="98">
        <f t="shared" ref="F683:L683" si="127">SUM(F684:F689)</f>
        <v>0</v>
      </c>
      <c r="G683" s="98">
        <f t="shared" si="127"/>
        <v>0</v>
      </c>
      <c r="H683" s="98">
        <f t="shared" si="127"/>
        <v>60</v>
      </c>
      <c r="I683" s="98">
        <f t="shared" si="127"/>
        <v>15</v>
      </c>
      <c r="J683" s="98">
        <f t="shared" si="127"/>
        <v>0</v>
      </c>
      <c r="K683" s="98">
        <f t="shared" si="127"/>
        <v>0</v>
      </c>
      <c r="L683" s="98">
        <f t="shared" si="127"/>
        <v>0</v>
      </c>
      <c r="M683" s="98">
        <f t="shared" ref="M683" si="128">SUM(E683:L683)</f>
        <v>75</v>
      </c>
      <c r="N683" s="2"/>
      <c r="O683" s="2"/>
      <c r="P683" s="2"/>
      <c r="Q683" s="2"/>
      <c r="R683" s="2"/>
      <c r="S683" s="2"/>
    </row>
    <row r="684" spans="1:19" s="1" customFormat="1" ht="42" customHeight="1" x14ac:dyDescent="0.25">
      <c r="A684" s="563"/>
      <c r="B684" s="572"/>
      <c r="C684" s="67" t="s">
        <v>93</v>
      </c>
      <c r="D684" s="46"/>
      <c r="E684" s="79">
        <v>0</v>
      </c>
      <c r="F684" s="99">
        <v>0</v>
      </c>
      <c r="G684" s="99">
        <v>0</v>
      </c>
      <c r="H684" s="99">
        <v>0</v>
      </c>
      <c r="I684" s="99">
        <v>0</v>
      </c>
      <c r="J684" s="99">
        <v>0</v>
      </c>
      <c r="K684" s="99">
        <v>0</v>
      </c>
      <c r="L684" s="99">
        <v>0</v>
      </c>
      <c r="M684" s="99">
        <v>0</v>
      </c>
      <c r="N684" s="2"/>
      <c r="O684" s="2"/>
      <c r="P684" s="2"/>
      <c r="Q684" s="2"/>
      <c r="R684" s="2"/>
      <c r="S684" s="2"/>
    </row>
    <row r="685" spans="1:19" s="1" customFormat="1" ht="27.95" customHeight="1" x14ac:dyDescent="0.25">
      <c r="A685" s="563"/>
      <c r="B685" s="572"/>
      <c r="C685" s="67" t="s">
        <v>94</v>
      </c>
      <c r="D685" s="46">
        <v>771</v>
      </c>
      <c r="E685" s="99">
        <f>'Приложение 5'!H281</f>
        <v>0</v>
      </c>
      <c r="F685" s="99">
        <f>'Приложение 5'!I281</f>
        <v>0</v>
      </c>
      <c r="G685" s="99">
        <f>'Приложение 5'!J281</f>
        <v>0</v>
      </c>
      <c r="H685" s="99">
        <f>'Приложение 5'!K281</f>
        <v>60</v>
      </c>
      <c r="I685" s="99">
        <f>'Приложение 5'!L281</f>
        <v>15</v>
      </c>
      <c r="J685" s="99">
        <f>'Приложение 5'!M281</f>
        <v>0</v>
      </c>
      <c r="K685" s="99">
        <f>'Приложение 5'!N281</f>
        <v>0</v>
      </c>
      <c r="L685" s="99">
        <f>'Приложение 5'!O281</f>
        <v>0</v>
      </c>
      <c r="M685" s="99">
        <f>'Приложение 5'!P281</f>
        <v>75</v>
      </c>
      <c r="N685" s="2"/>
      <c r="O685" s="2"/>
      <c r="P685" s="2"/>
      <c r="Q685" s="2"/>
      <c r="R685" s="2"/>
      <c r="S685" s="2"/>
    </row>
    <row r="686" spans="1:19" s="1" customFormat="1" ht="57" customHeight="1" x14ac:dyDescent="0.25">
      <c r="A686" s="563"/>
      <c r="B686" s="572"/>
      <c r="C686" s="67" t="s">
        <v>95</v>
      </c>
      <c r="D686" s="46"/>
      <c r="E686" s="99">
        <v>0</v>
      </c>
      <c r="F686" s="99">
        <v>0</v>
      </c>
      <c r="G686" s="99">
        <v>0</v>
      </c>
      <c r="H686" s="99">
        <v>0</v>
      </c>
      <c r="I686" s="99">
        <v>0</v>
      </c>
      <c r="J686" s="99">
        <v>0</v>
      </c>
      <c r="K686" s="99">
        <v>0</v>
      </c>
      <c r="L686" s="99">
        <v>0</v>
      </c>
      <c r="M686" s="99">
        <v>0</v>
      </c>
      <c r="N686" s="2"/>
      <c r="O686" s="2"/>
      <c r="P686" s="2"/>
      <c r="Q686" s="2"/>
      <c r="R686" s="2"/>
      <c r="S686" s="2"/>
    </row>
    <row r="687" spans="1:19" s="1" customFormat="1" ht="83.1" customHeight="1" x14ac:dyDescent="0.25">
      <c r="A687" s="563"/>
      <c r="B687" s="572"/>
      <c r="C687" s="67" t="s">
        <v>96</v>
      </c>
      <c r="D687" s="46"/>
      <c r="E687" s="99">
        <v>0</v>
      </c>
      <c r="F687" s="99">
        <v>0</v>
      </c>
      <c r="G687" s="99">
        <v>0</v>
      </c>
      <c r="H687" s="99">
        <v>0</v>
      </c>
      <c r="I687" s="99">
        <v>0</v>
      </c>
      <c r="J687" s="99">
        <v>0</v>
      </c>
      <c r="K687" s="99">
        <v>0</v>
      </c>
      <c r="L687" s="99">
        <v>0</v>
      </c>
      <c r="M687" s="99">
        <v>0</v>
      </c>
      <c r="N687" s="2"/>
      <c r="O687" s="2"/>
      <c r="P687" s="2"/>
      <c r="Q687" s="2"/>
      <c r="R687" s="2"/>
      <c r="S687" s="2"/>
    </row>
    <row r="688" spans="1:19" s="1" customFormat="1" ht="83.1" customHeight="1" x14ac:dyDescent="0.25">
      <c r="A688" s="563"/>
      <c r="B688" s="572"/>
      <c r="C688" s="67" t="s">
        <v>97</v>
      </c>
      <c r="D688" s="46"/>
      <c r="E688" s="99">
        <v>0</v>
      </c>
      <c r="F688" s="99">
        <v>0</v>
      </c>
      <c r="G688" s="99">
        <v>0</v>
      </c>
      <c r="H688" s="99">
        <v>0</v>
      </c>
      <c r="I688" s="99">
        <v>0</v>
      </c>
      <c r="J688" s="99">
        <v>0</v>
      </c>
      <c r="K688" s="99">
        <v>0</v>
      </c>
      <c r="L688" s="99">
        <v>0</v>
      </c>
      <c r="M688" s="99">
        <v>0</v>
      </c>
      <c r="N688" s="2"/>
      <c r="O688" s="2"/>
      <c r="P688" s="2"/>
      <c r="Q688" s="2"/>
      <c r="R688" s="2"/>
      <c r="S688" s="2"/>
    </row>
    <row r="689" spans="1:19" s="1" customFormat="1" ht="57" customHeight="1" x14ac:dyDescent="0.25">
      <c r="A689" s="564"/>
      <c r="B689" s="573"/>
      <c r="C689" s="67" t="s">
        <v>98</v>
      </c>
      <c r="D689" s="46"/>
      <c r="E689" s="99">
        <v>0</v>
      </c>
      <c r="F689" s="99">
        <v>0</v>
      </c>
      <c r="G689" s="99">
        <v>0</v>
      </c>
      <c r="H689" s="99">
        <v>0</v>
      </c>
      <c r="I689" s="99">
        <v>0</v>
      </c>
      <c r="J689" s="99">
        <v>0</v>
      </c>
      <c r="K689" s="99">
        <v>0</v>
      </c>
      <c r="L689" s="99">
        <v>0</v>
      </c>
      <c r="M689" s="99">
        <v>0</v>
      </c>
      <c r="N689" s="2"/>
      <c r="O689" s="2"/>
      <c r="P689" s="2"/>
      <c r="Q689" s="2"/>
      <c r="R689" s="2"/>
      <c r="S689" s="2"/>
    </row>
    <row r="690" spans="1:19" s="6" customFormat="1" ht="27.95" customHeight="1" x14ac:dyDescent="0.25">
      <c r="A690" s="585" t="s">
        <v>277</v>
      </c>
      <c r="B690" s="558" t="s">
        <v>328</v>
      </c>
      <c r="C690" s="58" t="s">
        <v>27</v>
      </c>
      <c r="D690" s="46">
        <v>771</v>
      </c>
      <c r="E690" s="98">
        <f>SUM(E691:E696)</f>
        <v>0</v>
      </c>
      <c r="F690" s="98">
        <f t="shared" ref="F690:L690" si="129">SUM(F691:F696)</f>
        <v>0</v>
      </c>
      <c r="G690" s="98">
        <f t="shared" si="129"/>
        <v>0</v>
      </c>
      <c r="H690" s="98">
        <f t="shared" si="129"/>
        <v>0</v>
      </c>
      <c r="I690" s="98">
        <f t="shared" si="129"/>
        <v>190</v>
      </c>
      <c r="J690" s="98">
        <f t="shared" si="129"/>
        <v>0</v>
      </c>
      <c r="K690" s="98">
        <f t="shared" si="129"/>
        <v>0</v>
      </c>
      <c r="L690" s="98">
        <f t="shared" si="129"/>
        <v>0</v>
      </c>
      <c r="M690" s="83">
        <f>SUM(E690:L690)</f>
        <v>190</v>
      </c>
      <c r="N690" s="5"/>
      <c r="O690" s="2"/>
      <c r="P690" s="2"/>
      <c r="Q690" s="2"/>
      <c r="R690" s="2"/>
      <c r="S690" s="2"/>
    </row>
    <row r="691" spans="1:19" s="6" customFormat="1" ht="42" customHeight="1" x14ac:dyDescent="0.25">
      <c r="A691" s="586"/>
      <c r="B691" s="559"/>
      <c r="C691" s="67" t="s">
        <v>93</v>
      </c>
      <c r="D691" s="46"/>
      <c r="E691" s="79">
        <v>0</v>
      </c>
      <c r="F691" s="81">
        <v>0</v>
      </c>
      <c r="G691" s="81">
        <v>0</v>
      </c>
      <c r="H691" s="81">
        <v>0</v>
      </c>
      <c r="I691" s="81">
        <v>0</v>
      </c>
      <c r="J691" s="81">
        <v>0</v>
      </c>
      <c r="K691" s="81">
        <v>0</v>
      </c>
      <c r="L691" s="81">
        <v>0</v>
      </c>
      <c r="M691" s="81">
        <v>0</v>
      </c>
      <c r="N691" s="5"/>
      <c r="O691" s="2"/>
      <c r="P691" s="2"/>
      <c r="Q691" s="2"/>
      <c r="R691" s="2"/>
      <c r="S691" s="2"/>
    </row>
    <row r="692" spans="1:19" s="6" customFormat="1" ht="27.95" customHeight="1" x14ac:dyDescent="0.25">
      <c r="A692" s="586"/>
      <c r="B692" s="559"/>
      <c r="C692" s="67" t="s">
        <v>94</v>
      </c>
      <c r="D692" s="46">
        <v>771</v>
      </c>
      <c r="E692" s="99">
        <f>'Приложение 5'!H271</f>
        <v>0</v>
      </c>
      <c r="F692" s="99">
        <f>'Приложение 5'!I271</f>
        <v>0</v>
      </c>
      <c r="G692" s="99">
        <f>'Приложение 5'!J271</f>
        <v>0</v>
      </c>
      <c r="H692" s="99">
        <f>'Приложение 5'!K282</f>
        <v>0</v>
      </c>
      <c r="I692" s="99">
        <f>'Приложение 5'!L282</f>
        <v>190</v>
      </c>
      <c r="J692" s="99">
        <f>'Приложение 5'!M282</f>
        <v>0</v>
      </c>
      <c r="K692" s="99">
        <f>'Приложение 5'!N282</f>
        <v>0</v>
      </c>
      <c r="L692" s="99">
        <f>'Приложение 5'!O282</f>
        <v>0</v>
      </c>
      <c r="M692" s="99">
        <f>'Приложение 5'!P271</f>
        <v>0</v>
      </c>
      <c r="N692" s="5"/>
      <c r="O692" s="2"/>
      <c r="P692" s="2"/>
      <c r="Q692" s="2"/>
      <c r="R692" s="2"/>
      <c r="S692" s="2"/>
    </row>
    <row r="693" spans="1:19" s="6" customFormat="1" ht="57" customHeight="1" x14ac:dyDescent="0.25">
      <c r="A693" s="586"/>
      <c r="B693" s="559"/>
      <c r="C693" s="67" t="s">
        <v>95</v>
      </c>
      <c r="D693" s="46"/>
      <c r="E693" s="81">
        <v>0</v>
      </c>
      <c r="F693" s="81">
        <v>0</v>
      </c>
      <c r="G693" s="81">
        <v>0</v>
      </c>
      <c r="H693" s="81">
        <v>0</v>
      </c>
      <c r="I693" s="81">
        <v>0</v>
      </c>
      <c r="J693" s="81">
        <v>0</v>
      </c>
      <c r="K693" s="81">
        <v>0</v>
      </c>
      <c r="L693" s="81">
        <v>0</v>
      </c>
      <c r="M693" s="81">
        <v>0</v>
      </c>
      <c r="N693" s="5"/>
      <c r="O693" s="2"/>
      <c r="P693" s="2"/>
      <c r="Q693" s="2"/>
      <c r="R693" s="2"/>
      <c r="S693" s="2"/>
    </row>
    <row r="694" spans="1:19" s="6" customFormat="1" ht="83.1" customHeight="1" x14ac:dyDescent="0.25">
      <c r="A694" s="586"/>
      <c r="B694" s="559"/>
      <c r="C694" s="67" t="s">
        <v>96</v>
      </c>
      <c r="D694" s="46"/>
      <c r="E694" s="81">
        <v>0</v>
      </c>
      <c r="F694" s="81">
        <v>0</v>
      </c>
      <c r="G694" s="81">
        <v>0</v>
      </c>
      <c r="H694" s="81">
        <v>0</v>
      </c>
      <c r="I694" s="81">
        <v>0</v>
      </c>
      <c r="J694" s="81">
        <v>0</v>
      </c>
      <c r="K694" s="81">
        <v>0</v>
      </c>
      <c r="L694" s="81">
        <v>0</v>
      </c>
      <c r="M694" s="81">
        <v>0</v>
      </c>
      <c r="N694" s="5"/>
      <c r="O694" s="2"/>
      <c r="P694" s="2"/>
      <c r="Q694" s="2"/>
      <c r="R694" s="2"/>
      <c r="S694" s="2"/>
    </row>
    <row r="695" spans="1:19" s="6" customFormat="1" ht="83.1" customHeight="1" x14ac:dyDescent="0.25">
      <c r="A695" s="586"/>
      <c r="B695" s="559"/>
      <c r="C695" s="67" t="s">
        <v>97</v>
      </c>
      <c r="D695" s="46"/>
      <c r="E695" s="81">
        <v>0</v>
      </c>
      <c r="F695" s="81">
        <v>0</v>
      </c>
      <c r="G695" s="81">
        <v>0</v>
      </c>
      <c r="H695" s="81">
        <v>0</v>
      </c>
      <c r="I695" s="81">
        <v>0</v>
      </c>
      <c r="J695" s="81">
        <v>0</v>
      </c>
      <c r="K695" s="81">
        <v>0</v>
      </c>
      <c r="L695" s="81">
        <v>0</v>
      </c>
      <c r="M695" s="81">
        <v>0</v>
      </c>
      <c r="N695" s="5"/>
      <c r="O695" s="2"/>
      <c r="P695" s="2"/>
      <c r="Q695" s="2"/>
      <c r="R695" s="2"/>
      <c r="S695" s="2"/>
    </row>
    <row r="696" spans="1:19" s="6" customFormat="1" ht="57" customHeight="1" x14ac:dyDescent="0.25">
      <c r="A696" s="587"/>
      <c r="B696" s="560"/>
      <c r="C696" s="67" t="s">
        <v>98</v>
      </c>
      <c r="D696" s="46"/>
      <c r="E696" s="81">
        <v>0</v>
      </c>
      <c r="F696" s="81">
        <v>0</v>
      </c>
      <c r="G696" s="81">
        <v>0</v>
      </c>
      <c r="H696" s="81">
        <v>0</v>
      </c>
      <c r="I696" s="81">
        <v>0</v>
      </c>
      <c r="J696" s="81">
        <v>0</v>
      </c>
      <c r="K696" s="81">
        <v>0</v>
      </c>
      <c r="L696" s="81">
        <v>0</v>
      </c>
      <c r="M696" s="81">
        <v>0</v>
      </c>
      <c r="N696" s="5"/>
      <c r="O696" s="2"/>
      <c r="P696" s="2"/>
      <c r="Q696" s="2"/>
      <c r="R696" s="2"/>
      <c r="S696" s="2"/>
    </row>
    <row r="697" spans="1:19" s="6" customFormat="1" ht="27.95" customHeight="1" x14ac:dyDescent="0.25">
      <c r="A697" s="585" t="s">
        <v>327</v>
      </c>
      <c r="B697" s="558" t="s">
        <v>83</v>
      </c>
      <c r="C697" s="58" t="s">
        <v>27</v>
      </c>
      <c r="D697" s="46">
        <v>771</v>
      </c>
      <c r="E697" s="98">
        <f>SUM(E698:E703)</f>
        <v>2300</v>
      </c>
      <c r="F697" s="98">
        <f t="shared" ref="F697:L697" si="130">SUM(F698:F703)</f>
        <v>0</v>
      </c>
      <c r="G697" s="98">
        <f t="shared" si="130"/>
        <v>0</v>
      </c>
      <c r="H697" s="98">
        <f t="shared" si="130"/>
        <v>0</v>
      </c>
      <c r="I697" s="98">
        <f t="shared" si="130"/>
        <v>0</v>
      </c>
      <c r="J697" s="98">
        <f t="shared" si="130"/>
        <v>0</v>
      </c>
      <c r="K697" s="98">
        <f t="shared" si="130"/>
        <v>0</v>
      </c>
      <c r="L697" s="98">
        <f t="shared" si="130"/>
        <v>0</v>
      </c>
      <c r="M697" s="83">
        <f>SUM(E697:L697)</f>
        <v>2300</v>
      </c>
      <c r="N697" s="5"/>
      <c r="O697" s="2"/>
      <c r="P697" s="2"/>
      <c r="Q697" s="2"/>
      <c r="R697" s="2"/>
      <c r="S697" s="2"/>
    </row>
    <row r="698" spans="1:19" s="6" customFormat="1" ht="42" customHeight="1" x14ac:dyDescent="0.25">
      <c r="A698" s="586"/>
      <c r="B698" s="559"/>
      <c r="C698" s="67" t="s">
        <v>93</v>
      </c>
      <c r="D698" s="46"/>
      <c r="E698" s="79">
        <v>0</v>
      </c>
      <c r="F698" s="81">
        <v>0</v>
      </c>
      <c r="G698" s="81">
        <v>0</v>
      </c>
      <c r="H698" s="81">
        <v>0</v>
      </c>
      <c r="I698" s="81">
        <v>0</v>
      </c>
      <c r="J698" s="81">
        <v>0</v>
      </c>
      <c r="K698" s="81">
        <v>0</v>
      </c>
      <c r="L698" s="81">
        <v>0</v>
      </c>
      <c r="M698" s="81">
        <v>0</v>
      </c>
      <c r="N698" s="5"/>
      <c r="O698" s="2"/>
      <c r="P698" s="2"/>
      <c r="Q698" s="2"/>
      <c r="R698" s="2"/>
      <c r="S698" s="2"/>
    </row>
    <row r="699" spans="1:19" s="6" customFormat="1" ht="22.5" customHeight="1" x14ac:dyDescent="0.25">
      <c r="A699" s="586"/>
      <c r="B699" s="559"/>
      <c r="C699" s="67" t="s">
        <v>94</v>
      </c>
      <c r="D699" s="46">
        <v>771</v>
      </c>
      <c r="E699" s="99">
        <f>'Приложение 5'!H283</f>
        <v>2300</v>
      </c>
      <c r="F699" s="99">
        <f>'Приложение 5'!I283</f>
        <v>0</v>
      </c>
      <c r="G699" s="99">
        <f>'Приложение 5'!J283</f>
        <v>0</v>
      </c>
      <c r="H699" s="99">
        <f>'Приложение 5'!K283</f>
        <v>0</v>
      </c>
      <c r="I699" s="99">
        <f>'Приложение 5'!L283</f>
        <v>0</v>
      </c>
      <c r="J699" s="99">
        <f>'Приложение 5'!M283</f>
        <v>0</v>
      </c>
      <c r="K699" s="99">
        <f>'Приложение 5'!N283</f>
        <v>0</v>
      </c>
      <c r="L699" s="99">
        <f>'Приложение 5'!O283</f>
        <v>0</v>
      </c>
      <c r="M699" s="99">
        <f>'Приложение 5'!P283</f>
        <v>2300</v>
      </c>
      <c r="N699" s="5"/>
      <c r="O699" s="2"/>
      <c r="P699" s="2"/>
      <c r="Q699" s="2"/>
      <c r="R699" s="2"/>
      <c r="S699" s="2"/>
    </row>
    <row r="700" spans="1:19" s="6" customFormat="1" ht="52.5" customHeight="1" x14ac:dyDescent="0.25">
      <c r="A700" s="586"/>
      <c r="B700" s="559"/>
      <c r="C700" s="67" t="s">
        <v>95</v>
      </c>
      <c r="D700" s="46"/>
      <c r="E700" s="81">
        <v>0</v>
      </c>
      <c r="F700" s="81">
        <v>0</v>
      </c>
      <c r="G700" s="81">
        <v>0</v>
      </c>
      <c r="H700" s="81">
        <v>0</v>
      </c>
      <c r="I700" s="81">
        <v>0</v>
      </c>
      <c r="J700" s="81">
        <v>0</v>
      </c>
      <c r="K700" s="81">
        <v>0</v>
      </c>
      <c r="L700" s="81">
        <v>0</v>
      </c>
      <c r="M700" s="81">
        <v>0</v>
      </c>
      <c r="N700" s="5"/>
      <c r="O700" s="2"/>
      <c r="P700" s="2"/>
      <c r="Q700" s="2"/>
      <c r="R700" s="2"/>
      <c r="S700" s="2"/>
    </row>
    <row r="701" spans="1:19" s="6" customFormat="1" ht="72.75" customHeight="1" x14ac:dyDescent="0.25">
      <c r="A701" s="586"/>
      <c r="B701" s="559"/>
      <c r="C701" s="67" t="s">
        <v>96</v>
      </c>
      <c r="D701" s="46"/>
      <c r="E701" s="81">
        <v>0</v>
      </c>
      <c r="F701" s="81">
        <v>0</v>
      </c>
      <c r="G701" s="81">
        <v>0</v>
      </c>
      <c r="H701" s="81">
        <v>0</v>
      </c>
      <c r="I701" s="81">
        <v>0</v>
      </c>
      <c r="J701" s="81">
        <v>0</v>
      </c>
      <c r="K701" s="81">
        <v>0</v>
      </c>
      <c r="L701" s="81">
        <v>0</v>
      </c>
      <c r="M701" s="81">
        <v>0</v>
      </c>
      <c r="N701" s="5"/>
      <c r="O701" s="2"/>
      <c r="P701" s="2"/>
      <c r="Q701" s="2"/>
      <c r="R701" s="2"/>
      <c r="S701" s="2"/>
    </row>
    <row r="702" spans="1:19" s="6" customFormat="1" ht="71.25" customHeight="1" x14ac:dyDescent="0.25">
      <c r="A702" s="586"/>
      <c r="B702" s="559"/>
      <c r="C702" s="67" t="s">
        <v>97</v>
      </c>
      <c r="D702" s="46"/>
      <c r="E702" s="81">
        <v>0</v>
      </c>
      <c r="F702" s="81">
        <v>0</v>
      </c>
      <c r="G702" s="81">
        <v>0</v>
      </c>
      <c r="H702" s="81">
        <v>0</v>
      </c>
      <c r="I702" s="81">
        <v>0</v>
      </c>
      <c r="J702" s="81">
        <v>0</v>
      </c>
      <c r="K702" s="81">
        <v>0</v>
      </c>
      <c r="L702" s="81">
        <v>0</v>
      </c>
      <c r="M702" s="81">
        <v>0</v>
      </c>
      <c r="N702" s="5"/>
      <c r="O702" s="2"/>
      <c r="P702" s="2"/>
      <c r="Q702" s="2"/>
      <c r="R702" s="2"/>
      <c r="S702" s="2"/>
    </row>
    <row r="703" spans="1:19" s="6" customFormat="1" ht="56.25" customHeight="1" x14ac:dyDescent="0.25">
      <c r="A703" s="587"/>
      <c r="B703" s="560"/>
      <c r="C703" s="67" t="s">
        <v>98</v>
      </c>
      <c r="D703" s="46"/>
      <c r="E703" s="81">
        <v>0</v>
      </c>
      <c r="F703" s="81">
        <v>0</v>
      </c>
      <c r="G703" s="81">
        <v>0</v>
      </c>
      <c r="H703" s="81">
        <v>0</v>
      </c>
      <c r="I703" s="81">
        <v>0</v>
      </c>
      <c r="J703" s="81">
        <v>0</v>
      </c>
      <c r="K703" s="81">
        <v>0</v>
      </c>
      <c r="L703" s="81">
        <v>0</v>
      </c>
      <c r="M703" s="81">
        <v>0</v>
      </c>
      <c r="N703" s="5"/>
      <c r="O703" s="2"/>
      <c r="P703" s="2"/>
      <c r="Q703" s="2"/>
      <c r="R703" s="2"/>
      <c r="S703" s="2"/>
    </row>
    <row r="704" spans="1:19" s="6" customFormat="1" ht="27.95" customHeight="1" x14ac:dyDescent="0.25">
      <c r="A704" s="627" t="s">
        <v>419</v>
      </c>
      <c r="B704" s="558" t="s">
        <v>418</v>
      </c>
      <c r="C704" s="58" t="s">
        <v>27</v>
      </c>
      <c r="D704" s="46">
        <v>771</v>
      </c>
      <c r="E704" s="98">
        <f>SUM(E705:E710)</f>
        <v>300</v>
      </c>
      <c r="F704" s="98">
        <f t="shared" ref="F704:L704" si="131">SUM(F705:F710)</f>
        <v>0</v>
      </c>
      <c r="G704" s="98">
        <f t="shared" si="131"/>
        <v>0</v>
      </c>
      <c r="H704" s="98">
        <f t="shared" si="131"/>
        <v>0</v>
      </c>
      <c r="I704" s="98">
        <f t="shared" si="131"/>
        <v>0</v>
      </c>
      <c r="J704" s="98">
        <f t="shared" si="131"/>
        <v>0</v>
      </c>
      <c r="K704" s="98">
        <f t="shared" si="131"/>
        <v>0</v>
      </c>
      <c r="L704" s="98">
        <f t="shared" si="131"/>
        <v>0</v>
      </c>
      <c r="M704" s="98">
        <f>SUM(E704:I704)</f>
        <v>300</v>
      </c>
      <c r="N704" s="5"/>
      <c r="O704" s="2"/>
      <c r="P704" s="2"/>
      <c r="Q704" s="2"/>
      <c r="R704" s="2"/>
      <c r="S704" s="2"/>
    </row>
    <row r="705" spans="1:19" s="6" customFormat="1" ht="37.5" customHeight="1" x14ac:dyDescent="0.25">
      <c r="A705" s="586"/>
      <c r="B705" s="559"/>
      <c r="C705" s="67" t="s">
        <v>93</v>
      </c>
      <c r="D705" s="46"/>
      <c r="E705" s="79">
        <v>0</v>
      </c>
      <c r="F705" s="99">
        <v>0</v>
      </c>
      <c r="G705" s="99">
        <v>0</v>
      </c>
      <c r="H705" s="99">
        <v>0</v>
      </c>
      <c r="I705" s="99">
        <v>0</v>
      </c>
      <c r="J705" s="99">
        <v>0</v>
      </c>
      <c r="K705" s="99">
        <v>0</v>
      </c>
      <c r="L705" s="99">
        <v>0</v>
      </c>
      <c r="M705" s="99">
        <v>0</v>
      </c>
      <c r="N705" s="5"/>
      <c r="O705" s="2"/>
      <c r="P705" s="2"/>
      <c r="Q705" s="2"/>
      <c r="R705" s="2"/>
      <c r="S705" s="2"/>
    </row>
    <row r="706" spans="1:19" s="6" customFormat="1" ht="27" customHeight="1" x14ac:dyDescent="0.25">
      <c r="A706" s="586"/>
      <c r="B706" s="559"/>
      <c r="C706" s="67" t="s">
        <v>94</v>
      </c>
      <c r="D706" s="46">
        <v>771</v>
      </c>
      <c r="E706" s="99">
        <f>'Приложение 5'!H284</f>
        <v>300</v>
      </c>
      <c r="F706" s="99">
        <f>'Приложение 5'!I284</f>
        <v>0</v>
      </c>
      <c r="G706" s="99">
        <f>'Приложение 5'!J284</f>
        <v>0</v>
      </c>
      <c r="H706" s="99">
        <f>'Приложение 5'!K284</f>
        <v>0</v>
      </c>
      <c r="I706" s="99">
        <f>'Приложение 5'!L284</f>
        <v>0</v>
      </c>
      <c r="J706" s="99">
        <f>'Приложение 5'!M284</f>
        <v>0</v>
      </c>
      <c r="K706" s="99">
        <f>'Приложение 5'!N284</f>
        <v>0</v>
      </c>
      <c r="L706" s="99">
        <f>'Приложение 5'!O284</f>
        <v>0</v>
      </c>
      <c r="M706" s="99">
        <f>'Приложение 5'!P284</f>
        <v>300</v>
      </c>
      <c r="N706" s="5"/>
      <c r="O706" s="2"/>
      <c r="P706" s="2"/>
      <c r="Q706" s="2"/>
      <c r="R706" s="2"/>
      <c r="S706" s="2"/>
    </row>
    <row r="707" spans="1:19" s="6" customFormat="1" ht="53.25" customHeight="1" x14ac:dyDescent="0.25">
      <c r="A707" s="586"/>
      <c r="B707" s="559"/>
      <c r="C707" s="67" t="s">
        <v>95</v>
      </c>
      <c r="D707" s="46"/>
      <c r="E707" s="99">
        <v>0</v>
      </c>
      <c r="F707" s="99">
        <v>0</v>
      </c>
      <c r="G707" s="99">
        <v>0</v>
      </c>
      <c r="H707" s="99">
        <v>0</v>
      </c>
      <c r="I707" s="99">
        <v>0</v>
      </c>
      <c r="J707" s="99">
        <v>0</v>
      </c>
      <c r="K707" s="99">
        <v>0</v>
      </c>
      <c r="L707" s="99">
        <v>0</v>
      </c>
      <c r="M707" s="99">
        <v>0</v>
      </c>
      <c r="N707" s="5"/>
      <c r="O707" s="2"/>
      <c r="P707" s="2"/>
      <c r="Q707" s="2"/>
      <c r="R707" s="2"/>
      <c r="S707" s="2"/>
    </row>
    <row r="708" spans="1:19" s="6" customFormat="1" ht="75.75" customHeight="1" x14ac:dyDescent="0.25">
      <c r="A708" s="586"/>
      <c r="B708" s="559"/>
      <c r="C708" s="67" t="s">
        <v>96</v>
      </c>
      <c r="D708" s="46"/>
      <c r="E708" s="99">
        <v>0</v>
      </c>
      <c r="F708" s="99">
        <v>0</v>
      </c>
      <c r="G708" s="99">
        <v>0</v>
      </c>
      <c r="H708" s="99">
        <v>0</v>
      </c>
      <c r="I708" s="99">
        <v>0</v>
      </c>
      <c r="J708" s="99">
        <v>0</v>
      </c>
      <c r="K708" s="99">
        <v>0</v>
      </c>
      <c r="L708" s="99">
        <v>0</v>
      </c>
      <c r="M708" s="99">
        <v>0</v>
      </c>
      <c r="N708" s="5"/>
      <c r="O708" s="2"/>
      <c r="P708" s="2"/>
      <c r="Q708" s="2"/>
      <c r="R708" s="2"/>
      <c r="S708" s="2"/>
    </row>
    <row r="709" spans="1:19" s="6" customFormat="1" ht="74.25" customHeight="1" x14ac:dyDescent="0.25">
      <c r="A709" s="586"/>
      <c r="B709" s="559"/>
      <c r="C709" s="67" t="s">
        <v>97</v>
      </c>
      <c r="D709" s="46"/>
      <c r="E709" s="99">
        <v>0</v>
      </c>
      <c r="F709" s="99">
        <v>0</v>
      </c>
      <c r="G709" s="99">
        <v>0</v>
      </c>
      <c r="H709" s="99">
        <v>0</v>
      </c>
      <c r="I709" s="99">
        <v>0</v>
      </c>
      <c r="J709" s="99">
        <v>0</v>
      </c>
      <c r="K709" s="99">
        <v>0</v>
      </c>
      <c r="L709" s="99">
        <v>0</v>
      </c>
      <c r="M709" s="99">
        <v>0</v>
      </c>
      <c r="N709" s="5"/>
      <c r="O709" s="2"/>
      <c r="P709" s="2"/>
      <c r="Q709" s="2"/>
      <c r="R709" s="2"/>
      <c r="S709" s="2"/>
    </row>
    <row r="710" spans="1:19" s="6" customFormat="1" ht="57" customHeight="1" x14ac:dyDescent="0.25">
      <c r="A710" s="587"/>
      <c r="B710" s="560"/>
      <c r="C710" s="67" t="s">
        <v>98</v>
      </c>
      <c r="D710" s="46"/>
      <c r="E710" s="99">
        <v>0</v>
      </c>
      <c r="F710" s="99">
        <v>0</v>
      </c>
      <c r="G710" s="99">
        <v>0</v>
      </c>
      <c r="H710" s="99">
        <v>0</v>
      </c>
      <c r="I710" s="99">
        <v>0</v>
      </c>
      <c r="J710" s="99">
        <v>0</v>
      </c>
      <c r="K710" s="99">
        <v>0</v>
      </c>
      <c r="L710" s="99">
        <v>0</v>
      </c>
      <c r="M710" s="99">
        <v>0</v>
      </c>
      <c r="N710" s="5"/>
      <c r="O710" s="2"/>
      <c r="P710" s="2"/>
      <c r="Q710" s="2"/>
      <c r="R710" s="2"/>
      <c r="S710" s="2"/>
    </row>
    <row r="711" spans="1:19" s="6" customFormat="1" ht="27.95" customHeight="1" x14ac:dyDescent="0.25">
      <c r="A711" s="585" t="s">
        <v>335</v>
      </c>
      <c r="B711" s="558" t="s">
        <v>397</v>
      </c>
      <c r="C711" s="58" t="s">
        <v>27</v>
      </c>
      <c r="D711" s="46">
        <v>771</v>
      </c>
      <c r="E711" s="98">
        <f>SUM(E712:E717)</f>
        <v>1500</v>
      </c>
      <c r="F711" s="98">
        <f t="shared" ref="F711:L711" si="132">SUM(F712:F717)</f>
        <v>0</v>
      </c>
      <c r="G711" s="98">
        <f t="shared" si="132"/>
        <v>0</v>
      </c>
      <c r="H711" s="98">
        <f t="shared" si="132"/>
        <v>0</v>
      </c>
      <c r="I711" s="98">
        <f t="shared" si="132"/>
        <v>0</v>
      </c>
      <c r="J711" s="98">
        <f t="shared" si="132"/>
        <v>0</v>
      </c>
      <c r="K711" s="98">
        <f t="shared" si="132"/>
        <v>0</v>
      </c>
      <c r="L711" s="98">
        <f t="shared" si="132"/>
        <v>0</v>
      </c>
      <c r="M711" s="98">
        <f>SUM(E711:L711)</f>
        <v>1500</v>
      </c>
      <c r="N711" s="5"/>
      <c r="O711" s="2"/>
      <c r="P711" s="2"/>
      <c r="Q711" s="2"/>
      <c r="R711" s="2"/>
      <c r="S711" s="2"/>
    </row>
    <row r="712" spans="1:19" s="6" customFormat="1" ht="42" customHeight="1" x14ac:dyDescent="0.25">
      <c r="A712" s="586"/>
      <c r="B712" s="559"/>
      <c r="C712" s="67" t="s">
        <v>93</v>
      </c>
      <c r="D712" s="46"/>
      <c r="E712" s="79">
        <v>0</v>
      </c>
      <c r="F712" s="99">
        <v>0</v>
      </c>
      <c r="G712" s="99">
        <v>0</v>
      </c>
      <c r="H712" s="99">
        <v>0</v>
      </c>
      <c r="I712" s="99">
        <v>0</v>
      </c>
      <c r="J712" s="99">
        <v>0</v>
      </c>
      <c r="K712" s="99">
        <v>0</v>
      </c>
      <c r="L712" s="99">
        <v>0</v>
      </c>
      <c r="M712" s="99">
        <v>0</v>
      </c>
      <c r="N712" s="5"/>
      <c r="O712" s="2"/>
      <c r="P712" s="2"/>
      <c r="Q712" s="2"/>
      <c r="R712" s="2"/>
      <c r="S712" s="2"/>
    </row>
    <row r="713" spans="1:19" s="6" customFormat="1" ht="27.95" customHeight="1" x14ac:dyDescent="0.25">
      <c r="A713" s="586"/>
      <c r="B713" s="559"/>
      <c r="C713" s="67" t="s">
        <v>94</v>
      </c>
      <c r="D713" s="46">
        <v>771</v>
      </c>
      <c r="E713" s="99">
        <f>'Приложение 5'!H285</f>
        <v>1500</v>
      </c>
      <c r="F713" s="99">
        <f>'Приложение 5'!I285</f>
        <v>0</v>
      </c>
      <c r="G713" s="99">
        <f>'Приложение 5'!J285</f>
        <v>0</v>
      </c>
      <c r="H713" s="99">
        <f>'Приложение 5'!K285</f>
        <v>0</v>
      </c>
      <c r="I713" s="99">
        <f>'Приложение 5'!L285</f>
        <v>0</v>
      </c>
      <c r="J713" s="99">
        <f>'Приложение 5'!M285</f>
        <v>0</v>
      </c>
      <c r="K713" s="99">
        <f>'Приложение 5'!N285</f>
        <v>0</v>
      </c>
      <c r="L713" s="99">
        <f>'Приложение 5'!O285</f>
        <v>0</v>
      </c>
      <c r="M713" s="99">
        <f>'Приложение 5'!P285</f>
        <v>1500</v>
      </c>
      <c r="N713" s="5"/>
      <c r="O713" s="2"/>
      <c r="P713" s="2"/>
      <c r="Q713" s="2"/>
      <c r="R713" s="2"/>
      <c r="S713" s="2"/>
    </row>
    <row r="714" spans="1:19" s="6" customFormat="1" ht="57" customHeight="1" x14ac:dyDescent="0.25">
      <c r="A714" s="586"/>
      <c r="B714" s="559"/>
      <c r="C714" s="67" t="s">
        <v>95</v>
      </c>
      <c r="D714" s="46"/>
      <c r="E714" s="99">
        <v>0</v>
      </c>
      <c r="F714" s="99">
        <v>0</v>
      </c>
      <c r="G714" s="99">
        <v>0</v>
      </c>
      <c r="H714" s="99">
        <v>0</v>
      </c>
      <c r="I714" s="99">
        <v>0</v>
      </c>
      <c r="J714" s="99">
        <v>0</v>
      </c>
      <c r="K714" s="99">
        <v>0</v>
      </c>
      <c r="L714" s="99">
        <v>0</v>
      </c>
      <c r="M714" s="99">
        <v>0</v>
      </c>
      <c r="N714" s="5"/>
      <c r="O714" s="2"/>
      <c r="P714" s="2"/>
      <c r="Q714" s="2"/>
      <c r="R714" s="2"/>
      <c r="S714" s="2"/>
    </row>
    <row r="715" spans="1:19" s="6" customFormat="1" ht="83.1" customHeight="1" x14ac:dyDescent="0.25">
      <c r="A715" s="586"/>
      <c r="B715" s="559"/>
      <c r="C715" s="67" t="s">
        <v>96</v>
      </c>
      <c r="D715" s="46"/>
      <c r="E715" s="99">
        <v>0</v>
      </c>
      <c r="F715" s="99">
        <v>0</v>
      </c>
      <c r="G715" s="99">
        <v>0</v>
      </c>
      <c r="H715" s="99">
        <v>0</v>
      </c>
      <c r="I715" s="99">
        <v>0</v>
      </c>
      <c r="J715" s="99">
        <v>0</v>
      </c>
      <c r="K715" s="99">
        <v>0</v>
      </c>
      <c r="L715" s="99">
        <v>0</v>
      </c>
      <c r="M715" s="99">
        <v>0</v>
      </c>
      <c r="N715" s="5"/>
      <c r="O715" s="2"/>
      <c r="P715" s="2"/>
      <c r="Q715" s="2"/>
      <c r="R715" s="2"/>
      <c r="S715" s="2"/>
    </row>
    <row r="716" spans="1:19" s="6" customFormat="1" ht="70.5" customHeight="1" x14ac:dyDescent="0.25">
      <c r="A716" s="586"/>
      <c r="B716" s="559"/>
      <c r="C716" s="67" t="s">
        <v>97</v>
      </c>
      <c r="D716" s="46"/>
      <c r="E716" s="99">
        <v>0</v>
      </c>
      <c r="F716" s="99">
        <v>0</v>
      </c>
      <c r="G716" s="99">
        <v>0</v>
      </c>
      <c r="H716" s="99">
        <v>0</v>
      </c>
      <c r="I716" s="99">
        <v>0</v>
      </c>
      <c r="J716" s="99">
        <v>0</v>
      </c>
      <c r="K716" s="99">
        <v>0</v>
      </c>
      <c r="L716" s="99">
        <v>0</v>
      </c>
      <c r="M716" s="99">
        <v>0</v>
      </c>
      <c r="N716" s="5"/>
      <c r="O716" s="2"/>
      <c r="P716" s="2"/>
      <c r="Q716" s="2"/>
      <c r="R716" s="2"/>
      <c r="S716" s="2"/>
    </row>
    <row r="717" spans="1:19" s="6" customFormat="1" ht="57" customHeight="1" x14ac:dyDescent="0.25">
      <c r="A717" s="587"/>
      <c r="B717" s="560"/>
      <c r="C717" s="67" t="s">
        <v>98</v>
      </c>
      <c r="D717" s="46"/>
      <c r="E717" s="99">
        <v>0</v>
      </c>
      <c r="F717" s="99">
        <v>0</v>
      </c>
      <c r="G717" s="99">
        <v>0</v>
      </c>
      <c r="H717" s="99">
        <v>0</v>
      </c>
      <c r="I717" s="99">
        <v>0</v>
      </c>
      <c r="J717" s="99">
        <v>0</v>
      </c>
      <c r="K717" s="99">
        <v>0</v>
      </c>
      <c r="L717" s="99">
        <v>0</v>
      </c>
      <c r="M717" s="99">
        <v>0</v>
      </c>
      <c r="N717" s="5"/>
      <c r="O717" s="2"/>
      <c r="P717" s="2"/>
      <c r="Q717" s="2"/>
      <c r="R717" s="2"/>
      <c r="S717" s="2"/>
    </row>
    <row r="718" spans="1:19" s="6" customFormat="1" ht="27.95" customHeight="1" x14ac:dyDescent="0.25">
      <c r="A718" s="585" t="s">
        <v>336</v>
      </c>
      <c r="B718" s="558" t="s">
        <v>86</v>
      </c>
      <c r="C718" s="58" t="s">
        <v>27</v>
      </c>
      <c r="D718" s="46">
        <v>771</v>
      </c>
      <c r="E718" s="98">
        <f>SUM(E719:E724)</f>
        <v>500</v>
      </c>
      <c r="F718" s="98">
        <f t="shared" ref="F718:L718" si="133">SUM(F719:F724)</f>
        <v>0</v>
      </c>
      <c r="G718" s="98">
        <f t="shared" si="133"/>
        <v>0</v>
      </c>
      <c r="H718" s="98">
        <f t="shared" si="133"/>
        <v>0</v>
      </c>
      <c r="I718" s="98">
        <f t="shared" si="133"/>
        <v>0</v>
      </c>
      <c r="J718" s="98">
        <f t="shared" si="133"/>
        <v>0</v>
      </c>
      <c r="K718" s="98">
        <f t="shared" si="133"/>
        <v>0</v>
      </c>
      <c r="L718" s="98">
        <f t="shared" si="133"/>
        <v>0</v>
      </c>
      <c r="M718" s="98">
        <f>SUM(E718:I718)</f>
        <v>500</v>
      </c>
      <c r="N718" s="5"/>
      <c r="O718" s="2"/>
      <c r="P718" s="2"/>
      <c r="Q718" s="2"/>
      <c r="R718" s="2"/>
      <c r="S718" s="2"/>
    </row>
    <row r="719" spans="1:19" s="6" customFormat="1" ht="42" customHeight="1" x14ac:dyDescent="0.25">
      <c r="A719" s="586"/>
      <c r="B719" s="559"/>
      <c r="C719" s="67" t="s">
        <v>93</v>
      </c>
      <c r="D719" s="46"/>
      <c r="E719" s="79">
        <v>0</v>
      </c>
      <c r="F719" s="99">
        <v>0</v>
      </c>
      <c r="G719" s="99">
        <v>0</v>
      </c>
      <c r="H719" s="99">
        <v>0</v>
      </c>
      <c r="I719" s="99">
        <v>0</v>
      </c>
      <c r="J719" s="99">
        <v>0</v>
      </c>
      <c r="K719" s="99">
        <v>0</v>
      </c>
      <c r="L719" s="99">
        <v>0</v>
      </c>
      <c r="M719" s="99">
        <v>0</v>
      </c>
      <c r="N719" s="5"/>
      <c r="O719" s="2"/>
      <c r="P719" s="2"/>
      <c r="Q719" s="2"/>
      <c r="R719" s="2"/>
      <c r="S719" s="2"/>
    </row>
    <row r="720" spans="1:19" s="6" customFormat="1" ht="27.95" customHeight="1" x14ac:dyDescent="0.25">
      <c r="A720" s="586"/>
      <c r="B720" s="559"/>
      <c r="C720" s="67" t="s">
        <v>94</v>
      </c>
      <c r="D720" s="46">
        <v>771</v>
      </c>
      <c r="E720" s="99">
        <f>'Приложение 5'!H286</f>
        <v>500</v>
      </c>
      <c r="F720" s="99">
        <f>'Приложение 5'!I286</f>
        <v>0</v>
      </c>
      <c r="G720" s="99">
        <f>'Приложение 5'!J286</f>
        <v>0</v>
      </c>
      <c r="H720" s="99">
        <f>'Приложение 5'!K286</f>
        <v>0</v>
      </c>
      <c r="I720" s="99">
        <f>'Приложение 5'!L286</f>
        <v>0</v>
      </c>
      <c r="J720" s="99">
        <f>'Приложение 5'!M286</f>
        <v>0</v>
      </c>
      <c r="K720" s="99">
        <f>'Приложение 5'!N286</f>
        <v>0</v>
      </c>
      <c r="L720" s="99">
        <f>'Приложение 5'!O286</f>
        <v>0</v>
      </c>
      <c r="M720" s="99">
        <f>'Приложение 5'!P286</f>
        <v>500</v>
      </c>
      <c r="N720" s="5"/>
      <c r="O720" s="2"/>
      <c r="P720" s="2"/>
      <c r="Q720" s="2"/>
      <c r="R720" s="2"/>
      <c r="S720" s="2"/>
    </row>
    <row r="721" spans="1:19" s="6" customFormat="1" ht="54" customHeight="1" x14ac:dyDescent="0.25">
      <c r="A721" s="586"/>
      <c r="B721" s="559"/>
      <c r="C721" s="67" t="s">
        <v>95</v>
      </c>
      <c r="D721" s="46"/>
      <c r="E721" s="99">
        <v>0</v>
      </c>
      <c r="F721" s="99">
        <v>0</v>
      </c>
      <c r="G721" s="99">
        <v>0</v>
      </c>
      <c r="H721" s="99">
        <v>0</v>
      </c>
      <c r="I721" s="99">
        <v>0</v>
      </c>
      <c r="J721" s="99">
        <v>0</v>
      </c>
      <c r="K721" s="99">
        <v>0</v>
      </c>
      <c r="L721" s="99">
        <v>0</v>
      </c>
      <c r="M721" s="99">
        <v>0</v>
      </c>
      <c r="N721" s="5"/>
      <c r="O721" s="2"/>
      <c r="P721" s="2"/>
      <c r="Q721" s="2"/>
      <c r="R721" s="2"/>
      <c r="S721" s="2"/>
    </row>
    <row r="722" spans="1:19" s="6" customFormat="1" ht="72.75" customHeight="1" x14ac:dyDescent="0.25">
      <c r="A722" s="586"/>
      <c r="B722" s="559"/>
      <c r="C722" s="67" t="s">
        <v>96</v>
      </c>
      <c r="D722" s="46"/>
      <c r="E722" s="99">
        <v>0</v>
      </c>
      <c r="F722" s="99">
        <v>0</v>
      </c>
      <c r="G722" s="99">
        <v>0</v>
      </c>
      <c r="H722" s="99">
        <v>0</v>
      </c>
      <c r="I722" s="99">
        <v>0</v>
      </c>
      <c r="J722" s="99">
        <v>0</v>
      </c>
      <c r="K722" s="99">
        <v>0</v>
      </c>
      <c r="L722" s="99">
        <v>0</v>
      </c>
      <c r="M722" s="99">
        <v>0</v>
      </c>
      <c r="N722" s="5"/>
      <c r="O722" s="2"/>
      <c r="P722" s="2"/>
      <c r="Q722" s="2"/>
      <c r="R722" s="2"/>
      <c r="S722" s="2"/>
    </row>
    <row r="723" spans="1:19" s="6" customFormat="1" ht="83.1" customHeight="1" x14ac:dyDescent="0.25">
      <c r="A723" s="586"/>
      <c r="B723" s="559"/>
      <c r="C723" s="67" t="s">
        <v>97</v>
      </c>
      <c r="D723" s="46"/>
      <c r="E723" s="99">
        <v>0</v>
      </c>
      <c r="F723" s="99">
        <v>0</v>
      </c>
      <c r="G723" s="99">
        <v>0</v>
      </c>
      <c r="H723" s="99">
        <v>0</v>
      </c>
      <c r="I723" s="99">
        <v>0</v>
      </c>
      <c r="J723" s="99">
        <v>0</v>
      </c>
      <c r="K723" s="99">
        <v>0</v>
      </c>
      <c r="L723" s="99">
        <v>0</v>
      </c>
      <c r="M723" s="99">
        <v>0</v>
      </c>
      <c r="N723" s="5"/>
      <c r="O723" s="2"/>
      <c r="P723" s="2"/>
      <c r="Q723" s="2"/>
      <c r="R723" s="2"/>
      <c r="S723" s="2"/>
    </row>
    <row r="724" spans="1:19" s="6" customFormat="1" ht="57" customHeight="1" x14ac:dyDescent="0.25">
      <c r="A724" s="587"/>
      <c r="B724" s="560"/>
      <c r="C724" s="67" t="s">
        <v>98</v>
      </c>
      <c r="D724" s="46"/>
      <c r="E724" s="99">
        <v>0</v>
      </c>
      <c r="F724" s="99">
        <v>0</v>
      </c>
      <c r="G724" s="99">
        <v>0</v>
      </c>
      <c r="H724" s="99">
        <v>0</v>
      </c>
      <c r="I724" s="99">
        <v>0</v>
      </c>
      <c r="J724" s="99">
        <v>0</v>
      </c>
      <c r="K724" s="99">
        <v>0</v>
      </c>
      <c r="L724" s="99">
        <v>0</v>
      </c>
      <c r="M724" s="99">
        <v>0</v>
      </c>
      <c r="N724" s="5"/>
      <c r="O724" s="2"/>
      <c r="P724" s="2"/>
      <c r="Q724" s="2"/>
      <c r="R724" s="2"/>
      <c r="S724" s="2"/>
    </row>
    <row r="725" spans="1:19" s="6" customFormat="1" ht="27" customHeight="1" x14ac:dyDescent="0.25">
      <c r="A725" s="34"/>
      <c r="M725" s="8" t="s">
        <v>304</v>
      </c>
      <c r="N725" s="5"/>
      <c r="O725" s="2"/>
      <c r="P725" s="2"/>
      <c r="Q725" s="2"/>
      <c r="R725" s="2"/>
      <c r="S725" s="2"/>
    </row>
    <row r="726" spans="1:19" s="6" customFormat="1" ht="14.25" customHeight="1" x14ac:dyDescent="0.25">
      <c r="A726" s="34"/>
      <c r="N726" s="5"/>
      <c r="O726" s="2"/>
      <c r="P726" s="2"/>
      <c r="Q726" s="2"/>
      <c r="R726" s="2"/>
      <c r="S726" s="2"/>
    </row>
    <row r="727" spans="1:19" s="1" customFormat="1" ht="15" x14ac:dyDescent="0.25">
      <c r="A727" s="35"/>
      <c r="N727" s="2"/>
      <c r="O727" s="2"/>
      <c r="P727" s="2"/>
      <c r="Q727" s="2"/>
      <c r="R727" s="2"/>
      <c r="S727" s="2"/>
    </row>
    <row r="728" spans="1:19" s="1" customFormat="1" ht="15" x14ac:dyDescent="0.25">
      <c r="A728" s="35"/>
      <c r="N728" s="2"/>
      <c r="O728" s="2"/>
      <c r="P728" s="2"/>
      <c r="Q728" s="2"/>
      <c r="R728" s="2"/>
      <c r="S728" s="2"/>
    </row>
    <row r="729" spans="1:19" s="1" customFormat="1" ht="15" x14ac:dyDescent="0.25">
      <c r="A729" s="35"/>
      <c r="N729" s="2"/>
      <c r="O729" s="2"/>
      <c r="P729" s="2"/>
      <c r="Q729" s="2"/>
      <c r="R729" s="2"/>
      <c r="S729" s="2"/>
    </row>
    <row r="730" spans="1:19" s="1" customFormat="1" ht="15" x14ac:dyDescent="0.25">
      <c r="A730" s="35"/>
      <c r="N730" s="2"/>
      <c r="O730" s="2"/>
      <c r="P730" s="2"/>
      <c r="Q730" s="2"/>
      <c r="R730" s="2"/>
      <c r="S730" s="2"/>
    </row>
    <row r="731" spans="1:19" s="1" customFormat="1" ht="15" x14ac:dyDescent="0.25">
      <c r="A731" s="35"/>
      <c r="N731" s="2"/>
      <c r="O731" s="2"/>
      <c r="P731" s="2"/>
      <c r="Q731" s="2"/>
      <c r="R731" s="2"/>
      <c r="S731" s="2"/>
    </row>
    <row r="732" spans="1:19" s="19" customFormat="1" x14ac:dyDescent="0.3">
      <c r="A732" s="36"/>
    </row>
    <row r="733" spans="1:19" s="19" customFormat="1" x14ac:dyDescent="0.3">
      <c r="A733" s="36"/>
    </row>
    <row r="734" spans="1:19" s="19" customFormat="1" x14ac:dyDescent="0.3">
      <c r="A734" s="36"/>
    </row>
    <row r="735" spans="1:19" s="19" customFormat="1" x14ac:dyDescent="0.3">
      <c r="A735" s="36"/>
    </row>
    <row r="736" spans="1:19" s="19" customFormat="1" x14ac:dyDescent="0.3">
      <c r="A736" s="36"/>
    </row>
    <row r="737" spans="1:7" s="19" customFormat="1" x14ac:dyDescent="0.3">
      <c r="A737" s="36"/>
    </row>
    <row r="738" spans="1:7" s="19" customFormat="1" x14ac:dyDescent="0.3">
      <c r="A738" s="36"/>
    </row>
    <row r="739" spans="1:7" x14ac:dyDescent="0.3">
      <c r="A739" s="37"/>
      <c r="B739" s="13"/>
      <c r="C739" s="13"/>
      <c r="D739" s="13"/>
      <c r="E739" s="13"/>
      <c r="F739" s="13"/>
      <c r="G739" s="13"/>
    </row>
    <row r="740" spans="1:7" x14ac:dyDescent="0.3">
      <c r="A740" s="37"/>
      <c r="B740" s="13"/>
      <c r="C740" s="13"/>
      <c r="D740" s="13"/>
      <c r="E740" s="13"/>
      <c r="F740" s="13"/>
      <c r="G740" s="13"/>
    </row>
    <row r="741" spans="1:7" x14ac:dyDescent="0.3">
      <c r="A741" s="37"/>
      <c r="B741" s="13"/>
      <c r="C741" s="13"/>
      <c r="D741" s="13"/>
      <c r="E741" s="13"/>
      <c r="F741" s="13"/>
      <c r="G741" s="13"/>
    </row>
    <row r="742" spans="1:7" x14ac:dyDescent="0.3">
      <c r="A742" s="37"/>
      <c r="B742" s="13"/>
      <c r="C742" s="13"/>
      <c r="D742" s="13"/>
      <c r="E742" s="13"/>
      <c r="F742" s="13"/>
      <c r="G742" s="13"/>
    </row>
    <row r="743" spans="1:7" x14ac:dyDescent="0.3">
      <c r="A743" s="37"/>
      <c r="B743" s="13"/>
      <c r="C743" s="13"/>
      <c r="D743" s="13"/>
      <c r="E743" s="13"/>
      <c r="F743" s="13"/>
      <c r="G743" s="13"/>
    </row>
    <row r="744" spans="1:7" x14ac:dyDescent="0.3">
      <c r="A744" s="37"/>
      <c r="B744" s="13"/>
      <c r="C744" s="13"/>
      <c r="D744" s="13"/>
      <c r="E744" s="13"/>
      <c r="F744" s="13"/>
      <c r="G744" s="13"/>
    </row>
    <row r="745" spans="1:7" x14ac:dyDescent="0.3">
      <c r="A745" s="37"/>
      <c r="B745" s="13"/>
      <c r="C745" s="13"/>
      <c r="D745" s="13"/>
      <c r="E745" s="13"/>
      <c r="F745" s="13"/>
      <c r="G745" s="13"/>
    </row>
  </sheetData>
  <mergeCells count="218">
    <mergeCell ref="A711:A717"/>
    <mergeCell ref="B543:B549"/>
    <mergeCell ref="A690:A696"/>
    <mergeCell ref="B690:B696"/>
    <mergeCell ref="A662:A668"/>
    <mergeCell ref="B662:B668"/>
    <mergeCell ref="B620:B626"/>
    <mergeCell ref="A529:A535"/>
    <mergeCell ref="B529:B535"/>
    <mergeCell ref="B711:B717"/>
    <mergeCell ref="A613:A619"/>
    <mergeCell ref="B613:B619"/>
    <mergeCell ref="A648:A654"/>
    <mergeCell ref="B648:B654"/>
    <mergeCell ref="A634:A640"/>
    <mergeCell ref="A697:A703"/>
    <mergeCell ref="B697:B703"/>
    <mergeCell ref="A536:A542"/>
    <mergeCell ref="B536:B542"/>
    <mergeCell ref="B641:B647"/>
    <mergeCell ref="A704:A710"/>
    <mergeCell ref="B704:B710"/>
    <mergeCell ref="A599:A605"/>
    <mergeCell ref="B634:B640"/>
    <mergeCell ref="G8:G9"/>
    <mergeCell ref="B6:B9"/>
    <mergeCell ref="A3:M3"/>
    <mergeCell ref="A4:M4"/>
    <mergeCell ref="M8:M9"/>
    <mergeCell ref="H8:H9"/>
    <mergeCell ref="I8:I9"/>
    <mergeCell ref="E8:E9"/>
    <mergeCell ref="F8:F9"/>
    <mergeCell ref="D6:D9"/>
    <mergeCell ref="E6:M7"/>
    <mergeCell ref="C6:C9"/>
    <mergeCell ref="J8:J9"/>
    <mergeCell ref="K8:K9"/>
    <mergeCell ref="L8:L9"/>
    <mergeCell ref="A81:A87"/>
    <mergeCell ref="B81:B87"/>
    <mergeCell ref="A88:A94"/>
    <mergeCell ref="B88:B94"/>
    <mergeCell ref="A39:A45"/>
    <mergeCell ref="A11:B17"/>
    <mergeCell ref="B18:B24"/>
    <mergeCell ref="B39:B45"/>
    <mergeCell ref="B67:B73"/>
    <mergeCell ref="A60:A66"/>
    <mergeCell ref="B60:B66"/>
    <mergeCell ref="A46:A52"/>
    <mergeCell ref="B46:B52"/>
    <mergeCell ref="A67:A73"/>
    <mergeCell ref="A18:A24"/>
    <mergeCell ref="B53:B59"/>
    <mergeCell ref="A53:A59"/>
    <mergeCell ref="B102:B108"/>
    <mergeCell ref="A249:A255"/>
    <mergeCell ref="B249:B255"/>
    <mergeCell ref="A144:A150"/>
    <mergeCell ref="A109:A115"/>
    <mergeCell ref="A116:A122"/>
    <mergeCell ref="B151:B157"/>
    <mergeCell ref="A151:A157"/>
    <mergeCell ref="B228:B234"/>
    <mergeCell ref="A228:A234"/>
    <mergeCell ref="B144:B150"/>
    <mergeCell ref="B109:B115"/>
    <mergeCell ref="B130:B136"/>
    <mergeCell ref="B116:B122"/>
    <mergeCell ref="A137:A143"/>
    <mergeCell ref="B137:B143"/>
    <mergeCell ref="A123:A129"/>
    <mergeCell ref="B123:B129"/>
    <mergeCell ref="A130:A136"/>
    <mergeCell ref="A242:A248"/>
    <mergeCell ref="B242:B248"/>
    <mergeCell ref="A193:A199"/>
    <mergeCell ref="B193:B199"/>
    <mergeCell ref="B179:B185"/>
    <mergeCell ref="A200:A206"/>
    <mergeCell ref="B186:B192"/>
    <mergeCell ref="B221:B227"/>
    <mergeCell ref="B200:B206"/>
    <mergeCell ref="A186:A192"/>
    <mergeCell ref="A214:A220"/>
    <mergeCell ref="A158:A164"/>
    <mergeCell ref="B158:B164"/>
    <mergeCell ref="A179:A185"/>
    <mergeCell ref="B354:B360"/>
    <mergeCell ref="A298:A304"/>
    <mergeCell ref="A221:A227"/>
    <mergeCell ref="B214:B220"/>
    <mergeCell ref="A207:A213"/>
    <mergeCell ref="B207:B213"/>
    <mergeCell ref="B459:B465"/>
    <mergeCell ref="A438:A444"/>
    <mergeCell ref="B445:B451"/>
    <mergeCell ref="A340:A346"/>
    <mergeCell ref="B340:B346"/>
    <mergeCell ref="A284:A290"/>
    <mergeCell ref="B284:B290"/>
    <mergeCell ref="A235:A241"/>
    <mergeCell ref="B235:B241"/>
    <mergeCell ref="A263:A269"/>
    <mergeCell ref="B263:B269"/>
    <mergeCell ref="B417:B423"/>
    <mergeCell ref="A417:A423"/>
    <mergeCell ref="B424:B430"/>
    <mergeCell ref="A424:A430"/>
    <mergeCell ref="B410:B416"/>
    <mergeCell ref="A410:A416"/>
    <mergeCell ref="A459:A465"/>
    <mergeCell ref="B431:B437"/>
    <mergeCell ref="A431:A437"/>
    <mergeCell ref="B438:B444"/>
    <mergeCell ref="A543:A549"/>
    <mergeCell ref="A466:A472"/>
    <mergeCell ref="B487:B493"/>
    <mergeCell ref="B508:B514"/>
    <mergeCell ref="A508:A514"/>
    <mergeCell ref="B473:B479"/>
    <mergeCell ref="A473:A479"/>
    <mergeCell ref="A494:A500"/>
    <mergeCell ref="A487:A493"/>
    <mergeCell ref="B501:B507"/>
    <mergeCell ref="A501:A507"/>
    <mergeCell ref="B466:B472"/>
    <mergeCell ref="B606:B612"/>
    <mergeCell ref="A683:A689"/>
    <mergeCell ref="B683:B689"/>
    <mergeCell ref="A620:A626"/>
    <mergeCell ref="A578:A584"/>
    <mergeCell ref="B578:B584"/>
    <mergeCell ref="A515:A521"/>
    <mergeCell ref="B515:B521"/>
    <mergeCell ref="B480:B486"/>
    <mergeCell ref="A480:A486"/>
    <mergeCell ref="B494:B500"/>
    <mergeCell ref="A585:A591"/>
    <mergeCell ref="B585:B591"/>
    <mergeCell ref="A641:A647"/>
    <mergeCell ref="B564:B570"/>
    <mergeCell ref="A564:A570"/>
    <mergeCell ref="B557:B563"/>
    <mergeCell ref="A557:A563"/>
    <mergeCell ref="A102:A108"/>
    <mergeCell ref="A627:A633"/>
    <mergeCell ref="B627:B633"/>
    <mergeCell ref="A550:A556"/>
    <mergeCell ref="B550:B556"/>
    <mergeCell ref="A718:A724"/>
    <mergeCell ref="B718:B724"/>
    <mergeCell ref="B522:B528"/>
    <mergeCell ref="A571:A577"/>
    <mergeCell ref="B571:B577"/>
    <mergeCell ref="B669:B675"/>
    <mergeCell ref="A669:A675"/>
    <mergeCell ref="A676:A682"/>
    <mergeCell ref="B676:B682"/>
    <mergeCell ref="A592:A598"/>
    <mergeCell ref="B592:B598"/>
    <mergeCell ref="A522:A528"/>
    <mergeCell ref="A655:A661"/>
    <mergeCell ref="B655:B661"/>
    <mergeCell ref="B599:B605"/>
    <mergeCell ref="A606:A612"/>
    <mergeCell ref="A445:A451"/>
    <mergeCell ref="B452:B458"/>
    <mergeCell ref="A452:A458"/>
    <mergeCell ref="A256:A262"/>
    <mergeCell ref="B256:B262"/>
    <mergeCell ref="B298:B304"/>
    <mergeCell ref="A291:A297"/>
    <mergeCell ref="B403:B409"/>
    <mergeCell ref="A403:A409"/>
    <mergeCell ref="B25:B31"/>
    <mergeCell ref="A25:A31"/>
    <mergeCell ref="B32:B38"/>
    <mergeCell ref="A32:A38"/>
    <mergeCell ref="B74:B80"/>
    <mergeCell ref="A74:A80"/>
    <mergeCell ref="B389:B395"/>
    <mergeCell ref="A389:A395"/>
    <mergeCell ref="A165:A171"/>
    <mergeCell ref="B165:B171"/>
    <mergeCell ref="A172:A178"/>
    <mergeCell ref="B172:B178"/>
    <mergeCell ref="A95:A101"/>
    <mergeCell ref="B95:B101"/>
    <mergeCell ref="A277:A283"/>
    <mergeCell ref="B270:B276"/>
    <mergeCell ref="B368:B374"/>
    <mergeCell ref="B375:B381"/>
    <mergeCell ref="A382:A388"/>
    <mergeCell ref="A270:A276"/>
    <mergeCell ref="B305:B311"/>
    <mergeCell ref="A305:A311"/>
    <mergeCell ref="B326:B332"/>
    <mergeCell ref="A326:A332"/>
    <mergeCell ref="B361:B367"/>
    <mergeCell ref="A361:A367"/>
    <mergeCell ref="B396:B402"/>
    <mergeCell ref="A396:A402"/>
    <mergeCell ref="A333:A339"/>
    <mergeCell ref="B333:B339"/>
    <mergeCell ref="B277:B283"/>
    <mergeCell ref="B319:B325"/>
    <mergeCell ref="A319:A325"/>
    <mergeCell ref="A312:A318"/>
    <mergeCell ref="B312:B318"/>
    <mergeCell ref="B291:B297"/>
    <mergeCell ref="A368:A374"/>
    <mergeCell ref="B382:B388"/>
    <mergeCell ref="A375:A381"/>
    <mergeCell ref="A347:A353"/>
    <mergeCell ref="B347:B353"/>
    <mergeCell ref="A354:A360"/>
  </mergeCells>
  <phoneticPr fontId="0" type="noConversion"/>
  <pageMargins left="0.78740157480314965" right="0.59055118110236227" top="0.70866141732283472" bottom="0.39370078740157483" header="0.31496062992125984" footer="0.19685039370078741"/>
  <pageSetup paperSize="9" scale="56" fitToHeight="0" orientation="landscape" r:id="rId1"/>
  <headerFooter differentFirst="1">
    <oddHeader>&amp;C&amp;P</oddHeader>
  </headerFooter>
  <rowBreaks count="42" manualBreakCount="42">
    <brk id="13" max="12" man="1"/>
    <brk id="29" max="12" man="1"/>
    <brk id="46" max="12" man="1"/>
    <brk id="63" max="12" man="1"/>
    <brk id="79" max="12" man="1"/>
    <brk id="97" max="12" man="1"/>
    <brk id="113" max="12" man="1"/>
    <brk id="130" max="12" man="1"/>
    <brk id="147" max="12" man="1"/>
    <brk id="163" max="12" man="1"/>
    <brk id="181" max="12" man="1"/>
    <brk id="197" max="12" man="1"/>
    <brk id="214" max="12" man="1"/>
    <brk id="231" max="12" man="1"/>
    <brk id="247" max="12" man="1"/>
    <brk id="265" max="12" man="1"/>
    <brk id="281" max="12" man="1"/>
    <brk id="298" max="12" man="1"/>
    <brk id="315" max="12" man="1"/>
    <brk id="331" max="12" man="1"/>
    <brk id="349" max="12" man="1"/>
    <brk id="365" max="12" man="1"/>
    <brk id="382" max="12" man="1"/>
    <brk id="398" max="12" man="1"/>
    <brk id="414" max="12" man="1"/>
    <brk id="431" max="12" man="1"/>
    <brk id="448" max="12" man="1"/>
    <brk id="464" max="12" man="1"/>
    <brk id="482" max="12" man="1"/>
    <brk id="498" max="12" man="1"/>
    <brk id="515" max="12" man="1"/>
    <brk id="532" max="12" man="1"/>
    <brk id="548" max="12" man="1"/>
    <brk id="565" max="12" man="1"/>
    <brk id="582" max="12" man="1"/>
    <brk id="598" max="12" man="1"/>
    <brk id="615" max="12" man="1"/>
    <brk id="631" max="12" man="1"/>
    <brk id="648" max="12" man="1"/>
    <brk id="672" max="12" man="1"/>
    <brk id="688" max="12" man="1"/>
    <brk id="707"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5</vt:i4>
      </vt:variant>
    </vt:vector>
  </HeadingPairs>
  <TitlesOfParts>
    <vt:vector size="7" baseType="lpstr">
      <vt:lpstr>Приложение 5</vt:lpstr>
      <vt:lpstr>Приложение 6</vt:lpstr>
      <vt:lpstr>'Приложение 5'!OLE_LINK1</vt:lpstr>
      <vt:lpstr>'Приложение 5'!Заголовки_для_печати</vt:lpstr>
      <vt:lpstr>'Приложение 6'!Заголовки_для_печати</vt:lpstr>
      <vt:lpstr>'Приложение 5'!Область_печати</vt:lpstr>
      <vt:lpstr>'Приложение 6'!Область_печати</vt:lpstr>
    </vt:vector>
  </TitlesOfParts>
  <Company>DDH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Мигачева Светлана Станиславовна</dc:creator>
  <cp:lastModifiedBy>Абросимова Олеся Александровна</cp:lastModifiedBy>
  <cp:lastPrinted>2017-05-15T23:55:35Z</cp:lastPrinted>
  <dcterms:created xsi:type="dcterms:W3CDTF">2013-07-10T00:16:59Z</dcterms:created>
  <dcterms:modified xsi:type="dcterms:W3CDTF">2017-05-25T00:43:00Z</dcterms:modified>
</cp:coreProperties>
</file>