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40" windowWidth="19440" windowHeight="12195" activeTab="1"/>
  </bookViews>
  <sheets>
    <sheet name="Приложение 5" sheetId="1" r:id="rId1"/>
    <sheet name="Приложение 6" sheetId="3" r:id="rId2"/>
  </sheets>
  <definedNames>
    <definedName name="_xlnm._FilterDatabase" localSheetId="0" hidden="1">'Приложение 5'!$D$12:$G$264</definedName>
    <definedName name="_xlnm._FilterDatabase" localSheetId="1" hidden="1">'Приложение 6'!$A$10:$I$725</definedName>
    <definedName name="OLE_LINK1" localSheetId="0">'Приложение 5'!$A$7</definedName>
    <definedName name="_xlnm.Print_Titles" localSheetId="0">'Приложение 5'!$11:$11</definedName>
    <definedName name="_xlnm.Print_Titles" localSheetId="1">'Приложение 6'!$10:$10</definedName>
    <definedName name="_xlnm.Print_Area" localSheetId="0">'Приложение 5'!$A$1:$P$266</definedName>
    <definedName name="_xlnm.Print_Area" localSheetId="1">'Приложение 6'!$A$1:$M$733</definedName>
  </definedNames>
  <calcPr calcId="145621"/>
</workbook>
</file>

<file path=xl/calcChain.xml><?xml version="1.0" encoding="utf-8"?>
<calcChain xmlns="http://schemas.openxmlformats.org/spreadsheetml/2006/main">
  <c r="K161" i="1" l="1"/>
  <c r="K149" i="1" l="1"/>
  <c r="K257" i="1" l="1"/>
  <c r="K231" i="1"/>
  <c r="K140" i="1" l="1"/>
  <c r="K56" i="1"/>
  <c r="O49" i="1" l="1"/>
  <c r="N49" i="1"/>
  <c r="M49" i="1"/>
  <c r="K213" i="1" l="1"/>
  <c r="K210" i="1"/>
  <c r="K207" i="1"/>
  <c r="K152" i="1"/>
  <c r="K229" i="1" l="1"/>
  <c r="M144" i="1" l="1"/>
  <c r="N144" i="1"/>
  <c r="O144" i="1"/>
  <c r="L144" i="1"/>
  <c r="L181" i="1" l="1"/>
  <c r="L168" i="1" s="1"/>
  <c r="L19" i="1" s="1"/>
  <c r="M181" i="1"/>
  <c r="M168" i="1" s="1"/>
  <c r="M19" i="1" s="1"/>
  <c r="N181" i="1"/>
  <c r="N168" i="1" s="1"/>
  <c r="N19" i="1" s="1"/>
  <c r="O181" i="1"/>
  <c r="O168" i="1" s="1"/>
  <c r="O19" i="1" s="1"/>
  <c r="L178" i="1"/>
  <c r="M178" i="1"/>
  <c r="N178" i="1"/>
  <c r="O178" i="1"/>
  <c r="K178" i="1"/>
  <c r="K181" i="1"/>
  <c r="P181" i="1" l="1"/>
  <c r="K168" i="1"/>
  <c r="M138" i="3"/>
  <c r="M140" i="3"/>
  <c r="M141" i="3"/>
  <c r="M142" i="3"/>
  <c r="M143" i="3"/>
  <c r="M144" i="3"/>
  <c r="M139" i="3"/>
  <c r="F138" i="3"/>
  <c r="G138" i="3"/>
  <c r="H138" i="3"/>
  <c r="I138" i="3"/>
  <c r="J138" i="3"/>
  <c r="K138" i="3"/>
  <c r="L138" i="3"/>
  <c r="E138" i="3"/>
  <c r="M134" i="3"/>
  <c r="P168" i="1" l="1"/>
  <c r="K19" i="1"/>
  <c r="P19" i="1" s="1"/>
  <c r="K144" i="1"/>
  <c r="P55" i="1"/>
  <c r="K146" i="1" l="1"/>
  <c r="P154" i="1"/>
  <c r="H294" i="3" l="1"/>
  <c r="H252" i="3"/>
  <c r="P129" i="1"/>
  <c r="K131" i="1"/>
  <c r="P109" i="1"/>
  <c r="K255" i="1" l="1"/>
  <c r="F364" i="3" l="1"/>
  <c r="F362" i="3" s="1"/>
  <c r="G364" i="3"/>
  <c r="G362" i="3" s="1"/>
  <c r="H364" i="3"/>
  <c r="H362" i="3" s="1"/>
  <c r="I364" i="3"/>
  <c r="J364" i="3"/>
  <c r="J362" i="3" s="1"/>
  <c r="K364" i="3"/>
  <c r="K362" i="3" s="1"/>
  <c r="L364" i="3"/>
  <c r="L362" i="3" s="1"/>
  <c r="E364" i="3"/>
  <c r="E362" i="3" s="1"/>
  <c r="M365" i="3"/>
  <c r="M364" i="3"/>
  <c r="M363" i="3"/>
  <c r="I362" i="3"/>
  <c r="M362" i="3" l="1"/>
  <c r="H154" i="3"/>
  <c r="H152" i="3" s="1"/>
  <c r="G154" i="3"/>
  <c r="G152" i="3" s="1"/>
  <c r="F154" i="3"/>
  <c r="F152" i="3" s="1"/>
  <c r="E154" i="3"/>
  <c r="M155" i="3"/>
  <c r="M153" i="3"/>
  <c r="K62" i="1"/>
  <c r="J61" i="1"/>
  <c r="I61" i="1"/>
  <c r="H60" i="1"/>
  <c r="P63" i="1"/>
  <c r="E152" i="3" l="1"/>
  <c r="J357" i="3"/>
  <c r="K357" i="3"/>
  <c r="L357" i="3"/>
  <c r="E672" i="3"/>
  <c r="E670" i="3" s="1"/>
  <c r="F672" i="3"/>
  <c r="F670" i="3" s="1"/>
  <c r="G672" i="3"/>
  <c r="G670" i="3" s="1"/>
  <c r="H672" i="3"/>
  <c r="H670" i="3" s="1"/>
  <c r="I700" i="3"/>
  <c r="I698" i="3" s="1"/>
  <c r="J700" i="3"/>
  <c r="J698" i="3" s="1"/>
  <c r="K700" i="3"/>
  <c r="K698" i="3" s="1"/>
  <c r="L700" i="3"/>
  <c r="L698" i="3" s="1"/>
  <c r="H700" i="3"/>
  <c r="H698" i="3" s="1"/>
  <c r="M700" i="3"/>
  <c r="G700" i="3"/>
  <c r="G698" i="3" s="1"/>
  <c r="F700" i="3"/>
  <c r="F698" i="3" s="1"/>
  <c r="E700" i="3"/>
  <c r="E698" i="3" s="1"/>
  <c r="M698" i="3" l="1"/>
  <c r="P60" i="1" l="1"/>
  <c r="L246" i="1"/>
  <c r="M246" i="1"/>
  <c r="P246" i="1" s="1"/>
  <c r="N246" i="1"/>
  <c r="O246" i="1"/>
  <c r="P260" i="1"/>
  <c r="K244" i="1"/>
  <c r="O245" i="1"/>
  <c r="L672" i="3" s="1"/>
  <c r="L670" i="3" s="1"/>
  <c r="N245" i="1"/>
  <c r="M245" i="1"/>
  <c r="J672" i="3" s="1"/>
  <c r="J670" i="3" s="1"/>
  <c r="L245" i="1"/>
  <c r="I672" i="3" s="1"/>
  <c r="I670" i="3" s="1"/>
  <c r="K258" i="1"/>
  <c r="K256" i="1"/>
  <c r="K254" i="1"/>
  <c r="K227" i="1"/>
  <c r="K224" i="1"/>
  <c r="K672" i="3" l="1"/>
  <c r="K670" i="3" s="1"/>
  <c r="M670" i="3" s="1"/>
  <c r="P245" i="1"/>
  <c r="E147" i="3"/>
  <c r="I59" i="1"/>
  <c r="J59" i="1"/>
  <c r="K59" i="1"/>
  <c r="L59" i="1"/>
  <c r="M59" i="1"/>
  <c r="N59" i="1"/>
  <c r="O59" i="1"/>
  <c r="H59" i="1"/>
  <c r="P59" i="1" l="1"/>
  <c r="O94" i="1"/>
  <c r="L94" i="1"/>
  <c r="M94" i="1"/>
  <c r="N94" i="1"/>
  <c r="K94" i="1"/>
  <c r="H39" i="1"/>
  <c r="I106" i="3" l="1"/>
  <c r="J106" i="3"/>
  <c r="K106" i="3"/>
  <c r="L106" i="3"/>
  <c r="H106" i="3"/>
  <c r="G106" i="3"/>
  <c r="F106" i="3"/>
  <c r="I196" i="1" l="1"/>
  <c r="J196" i="1"/>
  <c r="K197" i="1"/>
  <c r="L197" i="1"/>
  <c r="M197" i="1"/>
  <c r="N197" i="1"/>
  <c r="O197" i="1"/>
  <c r="H196" i="1"/>
  <c r="K190" i="1"/>
  <c r="L190" i="1"/>
  <c r="M190" i="1"/>
  <c r="N190" i="1"/>
  <c r="O190" i="1"/>
  <c r="I172" i="1"/>
  <c r="K173" i="1"/>
  <c r="L173" i="1"/>
  <c r="M173" i="1"/>
  <c r="N173" i="1"/>
  <c r="O173" i="1"/>
  <c r="H172" i="1"/>
  <c r="I157" i="1"/>
  <c r="K158" i="1"/>
  <c r="L158" i="1"/>
  <c r="M158" i="1"/>
  <c r="N158" i="1"/>
  <c r="O158" i="1"/>
  <c r="H157" i="1"/>
  <c r="M146" i="1"/>
  <c r="N146" i="1"/>
  <c r="O146" i="1"/>
  <c r="H145" i="1"/>
  <c r="K137" i="1"/>
  <c r="K105" i="1" s="1"/>
  <c r="L137" i="1"/>
  <c r="L105" i="1" s="1"/>
  <c r="M137" i="1"/>
  <c r="M105" i="1" s="1"/>
  <c r="N137" i="1"/>
  <c r="N105" i="1" s="1"/>
  <c r="O137" i="1"/>
  <c r="O105" i="1" s="1"/>
  <c r="H136" i="1"/>
  <c r="I107" i="1"/>
  <c r="H107" i="1"/>
  <c r="L41" i="1"/>
  <c r="M41" i="1"/>
  <c r="N41" i="1"/>
  <c r="O41" i="1"/>
  <c r="H40" i="1"/>
  <c r="H135" i="1" l="1"/>
  <c r="E322" i="3"/>
  <c r="H105" i="1"/>
  <c r="E79" i="3"/>
  <c r="I106" i="1"/>
  <c r="F245" i="3"/>
  <c r="H171" i="1"/>
  <c r="E413" i="3"/>
  <c r="H169" i="1"/>
  <c r="I171" i="1"/>
  <c r="I169" i="1"/>
  <c r="F413" i="3"/>
  <c r="P196" i="1"/>
  <c r="H195" i="1"/>
  <c r="E504" i="3"/>
  <c r="J195" i="1"/>
  <c r="G504" i="3"/>
  <c r="H106" i="1"/>
  <c r="E245" i="3"/>
  <c r="H144" i="1"/>
  <c r="E343" i="3"/>
  <c r="H141" i="1"/>
  <c r="H142" i="1"/>
  <c r="H156" i="1"/>
  <c r="E378" i="3"/>
  <c r="I156" i="1"/>
  <c r="F378" i="3"/>
  <c r="I195" i="1"/>
  <c r="F504" i="3"/>
  <c r="P190" i="1"/>
  <c r="J28" i="1" l="1"/>
  <c r="J26" i="1" s="1"/>
  <c r="K28" i="1"/>
  <c r="K27" i="1" s="1"/>
  <c r="L28" i="1"/>
  <c r="L27" i="1" s="1"/>
  <c r="M28" i="1"/>
  <c r="M27" i="1" s="1"/>
  <c r="N28" i="1"/>
  <c r="N27" i="1" s="1"/>
  <c r="O28" i="1"/>
  <c r="O27" i="1" s="1"/>
  <c r="H28" i="1"/>
  <c r="H26" i="1" s="1"/>
  <c r="L39" i="1"/>
  <c r="M39" i="1"/>
  <c r="N39" i="1"/>
  <c r="O39" i="1"/>
  <c r="J83" i="1"/>
  <c r="K75" i="1"/>
  <c r="K73" i="1" s="1"/>
  <c r="K68" i="1" s="1"/>
  <c r="L75" i="1"/>
  <c r="L71" i="1" s="1"/>
  <c r="M75" i="1"/>
  <c r="M71" i="1" s="1"/>
  <c r="N75" i="1"/>
  <c r="N73" i="1" s="1"/>
  <c r="N68" i="1" s="1"/>
  <c r="O75" i="1"/>
  <c r="O73" i="1" s="1"/>
  <c r="O68" i="1" s="1"/>
  <c r="H75" i="1"/>
  <c r="J93" i="1"/>
  <c r="H93" i="1"/>
  <c r="I101" i="1"/>
  <c r="J101" i="1"/>
  <c r="K101" i="1"/>
  <c r="L101" i="1"/>
  <c r="M101" i="1"/>
  <c r="N101" i="1"/>
  <c r="O101" i="1"/>
  <c r="H125" i="1"/>
  <c r="H25" i="1" l="1"/>
  <c r="H22" i="1"/>
  <c r="H23" i="1"/>
  <c r="J25" i="1"/>
  <c r="H101" i="1"/>
  <c r="H92" i="1"/>
  <c r="E217" i="3"/>
  <c r="H72" i="1"/>
  <c r="H67" i="1" s="1"/>
  <c r="H71" i="1"/>
  <c r="J92" i="1"/>
  <c r="G217" i="3"/>
  <c r="E30" i="3"/>
  <c r="G30" i="3"/>
  <c r="M73" i="1"/>
  <c r="M68" i="1" s="1"/>
  <c r="L73" i="1"/>
  <c r="L68" i="1" s="1"/>
  <c r="O71" i="1"/>
  <c r="K71" i="1"/>
  <c r="N71" i="1"/>
  <c r="H159" i="1"/>
  <c r="I159" i="1"/>
  <c r="K159" i="1"/>
  <c r="K156" i="1" s="1"/>
  <c r="K143" i="1" s="1"/>
  <c r="L159" i="1"/>
  <c r="L156" i="1" s="1"/>
  <c r="M159" i="1"/>
  <c r="M156" i="1" s="1"/>
  <c r="N159" i="1"/>
  <c r="N156" i="1" s="1"/>
  <c r="O159" i="1"/>
  <c r="O156" i="1" s="1"/>
  <c r="K171" i="1"/>
  <c r="L171" i="1"/>
  <c r="M171" i="1"/>
  <c r="N171" i="1"/>
  <c r="O171" i="1"/>
  <c r="L180" i="1"/>
  <c r="L167" i="1" s="1"/>
  <c r="M180" i="1"/>
  <c r="M167" i="1" s="1"/>
  <c r="N180" i="1"/>
  <c r="N167" i="1" s="1"/>
  <c r="O180" i="1"/>
  <c r="O167" i="1" s="1"/>
  <c r="K180" i="1"/>
  <c r="K167" i="1" s="1"/>
  <c r="L179" i="1"/>
  <c r="M179" i="1"/>
  <c r="N179" i="1"/>
  <c r="O179" i="1"/>
  <c r="K179" i="1"/>
  <c r="K195" i="1"/>
  <c r="L195" i="1"/>
  <c r="M195" i="1"/>
  <c r="N195" i="1"/>
  <c r="O195" i="1"/>
  <c r="K204" i="1"/>
  <c r="L204" i="1"/>
  <c r="M204" i="1"/>
  <c r="N204" i="1"/>
  <c r="O204" i="1"/>
  <c r="H204" i="1"/>
  <c r="K221" i="1"/>
  <c r="L221" i="1"/>
  <c r="M221" i="1"/>
  <c r="N221" i="1"/>
  <c r="O221" i="1"/>
  <c r="H221" i="1"/>
  <c r="I232" i="1"/>
  <c r="K232" i="1"/>
  <c r="L232" i="1"/>
  <c r="M232" i="1"/>
  <c r="N232" i="1"/>
  <c r="O232" i="1"/>
  <c r="H232" i="1"/>
  <c r="H239" i="1"/>
  <c r="I261" i="1"/>
  <c r="J261" i="1"/>
  <c r="K261" i="1"/>
  <c r="L261" i="1"/>
  <c r="L249" i="1" s="1"/>
  <c r="M261" i="1"/>
  <c r="M249" i="1" s="1"/>
  <c r="N261" i="1"/>
  <c r="N249" i="1" s="1"/>
  <c r="O261" i="1"/>
  <c r="O249" i="1" s="1"/>
  <c r="H261" i="1"/>
  <c r="N166" i="1" l="1"/>
  <c r="N177" i="1"/>
  <c r="K166" i="1"/>
  <c r="K177" i="1"/>
  <c r="L166" i="1"/>
  <c r="L177" i="1"/>
  <c r="O166" i="1"/>
  <c r="O177" i="1"/>
  <c r="M166" i="1"/>
  <c r="M177" i="1"/>
  <c r="K249" i="1"/>
  <c r="K247" i="1"/>
  <c r="E168" i="3"/>
  <c r="H66" i="1"/>
  <c r="O247" i="1"/>
  <c r="I248" i="1"/>
  <c r="H248" i="1"/>
  <c r="N247" i="1"/>
  <c r="L247" i="1"/>
  <c r="H219" i="1"/>
  <c r="H218" i="1" s="1"/>
  <c r="N201" i="1"/>
  <c r="N203" i="1"/>
  <c r="M247" i="1"/>
  <c r="O201" i="1"/>
  <c r="O203" i="1"/>
  <c r="M201" i="1"/>
  <c r="M203" i="1"/>
  <c r="P178" i="1"/>
  <c r="F17" i="3"/>
  <c r="G17" i="3"/>
  <c r="H17" i="3"/>
  <c r="I17" i="3"/>
  <c r="J17" i="3"/>
  <c r="K17" i="3"/>
  <c r="L17" i="3"/>
  <c r="E17" i="3"/>
  <c r="F686" i="3"/>
  <c r="E686" i="3"/>
  <c r="F602" i="3"/>
  <c r="G602" i="3"/>
  <c r="H602" i="3"/>
  <c r="E602" i="3"/>
  <c r="J567" i="3"/>
  <c r="K567" i="3"/>
  <c r="L567" i="3"/>
  <c r="I280" i="3"/>
  <c r="J280" i="3"/>
  <c r="K280" i="3"/>
  <c r="L280" i="3"/>
  <c r="H280" i="3"/>
  <c r="G280" i="3"/>
  <c r="F252" i="3"/>
  <c r="E252" i="3"/>
  <c r="I196" i="3"/>
  <c r="J196" i="3"/>
  <c r="K196" i="3"/>
  <c r="L196" i="3"/>
  <c r="H196" i="3"/>
  <c r="G189" i="3"/>
  <c r="F189" i="3"/>
  <c r="L182" i="3"/>
  <c r="K182" i="3"/>
  <c r="J182" i="3"/>
  <c r="F133" i="3"/>
  <c r="H133" i="3"/>
  <c r="I133" i="3"/>
  <c r="J133" i="3"/>
  <c r="K133" i="3"/>
  <c r="L133" i="3"/>
  <c r="E133" i="3"/>
  <c r="F126" i="3"/>
  <c r="E126" i="3"/>
  <c r="I96" i="3"/>
  <c r="J96" i="3"/>
  <c r="K96" i="3"/>
  <c r="L96" i="3"/>
  <c r="F96" i="3"/>
  <c r="H247" i="1" l="1"/>
  <c r="E679" i="3"/>
  <c r="E574" i="3"/>
  <c r="I247" i="1"/>
  <c r="F679" i="3"/>
  <c r="F707" i="3"/>
  <c r="G707" i="3"/>
  <c r="H707" i="3"/>
  <c r="I707" i="3"/>
  <c r="J707" i="3"/>
  <c r="K707" i="3"/>
  <c r="L707" i="3"/>
  <c r="P264" i="1"/>
  <c r="P263" i="1"/>
  <c r="P262" i="1"/>
  <c r="P259" i="1"/>
  <c r="J252" i="1"/>
  <c r="J251" i="1"/>
  <c r="J243" i="1"/>
  <c r="J248" i="1" l="1"/>
  <c r="G686" i="3"/>
  <c r="P180" i="1"/>
  <c r="P179" i="1"/>
  <c r="P250" i="1"/>
  <c r="P243" i="1"/>
  <c r="P236" i="1"/>
  <c r="J234" i="1"/>
  <c r="P231" i="1"/>
  <c r="O230" i="1"/>
  <c r="N230" i="1"/>
  <c r="M230" i="1"/>
  <c r="L230" i="1"/>
  <c r="P229" i="1"/>
  <c r="P228" i="1"/>
  <c r="J226" i="1"/>
  <c r="J221" i="1" s="1"/>
  <c r="I226" i="1"/>
  <c r="I221" i="1" s="1"/>
  <c r="P222" i="1"/>
  <c r="J212" i="1"/>
  <c r="P211" i="1" s="1"/>
  <c r="J209" i="1"/>
  <c r="J206" i="1"/>
  <c r="I206" i="1"/>
  <c r="P198" i="1"/>
  <c r="J247" i="1" l="1"/>
  <c r="G679" i="3"/>
  <c r="P248" i="1"/>
  <c r="I204" i="1"/>
  <c r="J204" i="1"/>
  <c r="L602" i="3"/>
  <c r="I602" i="3"/>
  <c r="J602" i="3"/>
  <c r="K602" i="3"/>
  <c r="P233" i="1"/>
  <c r="J232" i="1"/>
  <c r="P261" i="1"/>
  <c r="M707" i="3" s="1"/>
  <c r="E707" i="3"/>
  <c r="P225" i="1"/>
  <c r="P230" i="1"/>
  <c r="P208" i="1"/>
  <c r="P205" i="1"/>
  <c r="P195" i="1" l="1"/>
  <c r="P232" i="1"/>
  <c r="P221" i="1"/>
  <c r="J160" i="1" l="1"/>
  <c r="L17" i="1" l="1"/>
  <c r="M17" i="1"/>
  <c r="N17" i="1"/>
  <c r="O17" i="1"/>
  <c r="K17" i="1"/>
  <c r="L14" i="1"/>
  <c r="M14" i="1"/>
  <c r="N14" i="1"/>
  <c r="O14" i="1"/>
  <c r="H385" i="3"/>
  <c r="P122" i="1"/>
  <c r="I126" i="1"/>
  <c r="J126" i="1"/>
  <c r="K126" i="1"/>
  <c r="L126" i="1"/>
  <c r="M126" i="1"/>
  <c r="N126" i="1"/>
  <c r="O126" i="1"/>
  <c r="H126" i="1"/>
  <c r="L128" i="1"/>
  <c r="L104" i="1" s="1"/>
  <c r="M128" i="1"/>
  <c r="M104" i="1" s="1"/>
  <c r="N128" i="1"/>
  <c r="N104" i="1" s="1"/>
  <c r="O128" i="1"/>
  <c r="O104" i="1" s="1"/>
  <c r="K128" i="1"/>
  <c r="K104" i="1" s="1"/>
  <c r="I127" i="1"/>
  <c r="I104" i="1" s="1"/>
  <c r="H127" i="1"/>
  <c r="K70" i="1"/>
  <c r="L70" i="1"/>
  <c r="M70" i="1"/>
  <c r="N70" i="1"/>
  <c r="O70" i="1"/>
  <c r="H70" i="1"/>
  <c r="K69" i="1"/>
  <c r="L69" i="1"/>
  <c r="I154" i="3" s="1"/>
  <c r="M69" i="1"/>
  <c r="J154" i="3" s="1"/>
  <c r="J152" i="3" s="1"/>
  <c r="N69" i="1"/>
  <c r="K154" i="3" s="1"/>
  <c r="K152" i="3" s="1"/>
  <c r="O69" i="1"/>
  <c r="L154" i="3" s="1"/>
  <c r="L152" i="3" s="1"/>
  <c r="H69" i="1"/>
  <c r="J70" i="1"/>
  <c r="J74" i="1"/>
  <c r="J69" i="1" s="1"/>
  <c r="I175" i="3"/>
  <c r="J175" i="3"/>
  <c r="K175" i="3"/>
  <c r="L175" i="3"/>
  <c r="P79" i="1"/>
  <c r="P17" i="1" l="1"/>
  <c r="I152" i="3"/>
  <c r="M152" i="3" s="1"/>
  <c r="M154" i="3"/>
  <c r="H104" i="1"/>
  <c r="I124" i="1"/>
  <c r="F287" i="3"/>
  <c r="I102" i="1"/>
  <c r="H102" i="1"/>
  <c r="E287" i="3"/>
  <c r="H124" i="1"/>
  <c r="H100" i="1"/>
  <c r="H16" i="1"/>
  <c r="M16" i="1"/>
  <c r="L16" i="1"/>
  <c r="K16" i="1"/>
  <c r="P125" i="1"/>
  <c r="P101" i="1"/>
  <c r="H175" i="3"/>
  <c r="O16" i="1"/>
  <c r="N16" i="1"/>
  <c r="P167" i="1"/>
  <c r="F385" i="3"/>
  <c r="P126" i="1"/>
  <c r="P50" i="1"/>
  <c r="P166" i="1" l="1"/>
  <c r="K14" i="1"/>
  <c r="K48" i="1"/>
  <c r="K49" i="1"/>
  <c r="J47" i="1"/>
  <c r="J46" i="1"/>
  <c r="P33" i="1"/>
  <c r="G96" i="3" l="1"/>
  <c r="H96" i="3"/>
  <c r="M25" i="1"/>
  <c r="K25" i="1"/>
  <c r="N25" i="1"/>
  <c r="L25" i="1"/>
  <c r="O25" i="1"/>
  <c r="P45" i="1"/>
  <c r="P155" i="1"/>
  <c r="M371" i="3" s="1"/>
  <c r="F371" i="3"/>
  <c r="F369" i="3" s="1"/>
  <c r="G371" i="3"/>
  <c r="G369" i="3" s="1"/>
  <c r="H371" i="3"/>
  <c r="H369" i="3" s="1"/>
  <c r="I371" i="3"/>
  <c r="I369" i="3" s="1"/>
  <c r="J371" i="3"/>
  <c r="J369" i="3" s="1"/>
  <c r="K371" i="3"/>
  <c r="K369" i="3" s="1"/>
  <c r="L371" i="3"/>
  <c r="L369" i="3" s="1"/>
  <c r="E371" i="3"/>
  <c r="E369" i="3" s="1"/>
  <c r="M372" i="3"/>
  <c r="M370" i="3"/>
  <c r="E481" i="3"/>
  <c r="F481" i="3"/>
  <c r="G481" i="3"/>
  <c r="E476" i="3"/>
  <c r="E474" i="3" s="1"/>
  <c r="F476" i="3"/>
  <c r="F474" i="3" s="1"/>
  <c r="G476" i="3"/>
  <c r="G474" i="3" s="1"/>
  <c r="E469" i="3"/>
  <c r="E467" i="3" s="1"/>
  <c r="F469" i="3"/>
  <c r="F467" i="3" s="1"/>
  <c r="G469" i="3"/>
  <c r="G467" i="3" s="1"/>
  <c r="E462" i="3"/>
  <c r="E460" i="3" s="1"/>
  <c r="F462" i="3"/>
  <c r="F460" i="3" s="1"/>
  <c r="G462" i="3"/>
  <c r="G460" i="3" s="1"/>
  <c r="E455" i="3"/>
  <c r="E453" i="3" s="1"/>
  <c r="F455" i="3"/>
  <c r="F453" i="3" s="1"/>
  <c r="G455" i="3"/>
  <c r="G453" i="3" s="1"/>
  <c r="E448" i="3"/>
  <c r="E446" i="3" s="1"/>
  <c r="F448" i="3"/>
  <c r="F446" i="3" s="1"/>
  <c r="G448" i="3"/>
  <c r="G446" i="3" s="1"/>
  <c r="E441" i="3"/>
  <c r="E439" i="3" s="1"/>
  <c r="F441" i="3"/>
  <c r="F439" i="3" s="1"/>
  <c r="G441" i="3"/>
  <c r="G439" i="3" s="1"/>
  <c r="E434" i="3"/>
  <c r="E432" i="3" s="1"/>
  <c r="F434" i="3"/>
  <c r="F432" i="3" s="1"/>
  <c r="G434" i="3"/>
  <c r="G432" i="3" s="1"/>
  <c r="E425" i="3"/>
  <c r="F425" i="3"/>
  <c r="G425" i="3"/>
  <c r="E490" i="3"/>
  <c r="E488" i="3" s="1"/>
  <c r="F490" i="3"/>
  <c r="F488" i="3" s="1"/>
  <c r="G490" i="3"/>
  <c r="G488" i="3" s="1"/>
  <c r="L22" i="1" l="1"/>
  <c r="L24" i="1"/>
  <c r="O22" i="1"/>
  <c r="O24" i="1"/>
  <c r="N22" i="1"/>
  <c r="N24" i="1"/>
  <c r="M22" i="1"/>
  <c r="M24" i="1"/>
  <c r="M369" i="3"/>
  <c r="J565" i="3" l="1"/>
  <c r="K565" i="3"/>
  <c r="L565" i="3"/>
  <c r="F728" i="3"/>
  <c r="F726" i="3" s="1"/>
  <c r="G728" i="3"/>
  <c r="G726" i="3" s="1"/>
  <c r="H728" i="3"/>
  <c r="H726" i="3" s="1"/>
  <c r="I728" i="3"/>
  <c r="I726" i="3" s="1"/>
  <c r="J728" i="3"/>
  <c r="J726" i="3" s="1"/>
  <c r="K728" i="3"/>
  <c r="K726" i="3" s="1"/>
  <c r="L728" i="3"/>
  <c r="L726" i="3" s="1"/>
  <c r="E728" i="3"/>
  <c r="E726" i="3" s="1"/>
  <c r="F721" i="3"/>
  <c r="F719" i="3" s="1"/>
  <c r="G721" i="3"/>
  <c r="G719" i="3" s="1"/>
  <c r="H721" i="3"/>
  <c r="H719" i="3" s="1"/>
  <c r="I721" i="3"/>
  <c r="I719" i="3" s="1"/>
  <c r="J721" i="3"/>
  <c r="J719" i="3" s="1"/>
  <c r="K721" i="3"/>
  <c r="K719" i="3" s="1"/>
  <c r="L721" i="3"/>
  <c r="L719" i="3" s="1"/>
  <c r="E721" i="3"/>
  <c r="E719" i="3" s="1"/>
  <c r="F714" i="3"/>
  <c r="F712" i="3" s="1"/>
  <c r="G714" i="3"/>
  <c r="G712" i="3" s="1"/>
  <c r="H714" i="3"/>
  <c r="H712" i="3" s="1"/>
  <c r="I714" i="3"/>
  <c r="I712" i="3" s="1"/>
  <c r="J714" i="3"/>
  <c r="J712" i="3" s="1"/>
  <c r="K714" i="3"/>
  <c r="K712" i="3" s="1"/>
  <c r="L714" i="3"/>
  <c r="L712" i="3" s="1"/>
  <c r="E714" i="3"/>
  <c r="E712" i="3" s="1"/>
  <c r="J705" i="3"/>
  <c r="K705" i="3"/>
  <c r="L705" i="3"/>
  <c r="F560" i="3"/>
  <c r="F558" i="3" s="1"/>
  <c r="G560" i="3"/>
  <c r="G558" i="3" s="1"/>
  <c r="H560" i="3"/>
  <c r="H558" i="3" s="1"/>
  <c r="I560" i="3"/>
  <c r="I558" i="3" s="1"/>
  <c r="J560" i="3"/>
  <c r="J558" i="3" s="1"/>
  <c r="K560" i="3"/>
  <c r="K558" i="3" s="1"/>
  <c r="L560" i="3"/>
  <c r="L558" i="3" s="1"/>
  <c r="E560" i="3"/>
  <c r="E558" i="3" s="1"/>
  <c r="G553" i="3"/>
  <c r="G551" i="3" s="1"/>
  <c r="H553" i="3"/>
  <c r="H551" i="3" s="1"/>
  <c r="I553" i="3"/>
  <c r="I551" i="3" s="1"/>
  <c r="J553" i="3"/>
  <c r="J551" i="3" s="1"/>
  <c r="K553" i="3"/>
  <c r="K551" i="3" s="1"/>
  <c r="L553" i="3"/>
  <c r="L551" i="3" s="1"/>
  <c r="E553" i="3"/>
  <c r="E551" i="3" s="1"/>
  <c r="E651" i="3"/>
  <c r="E649" i="3" s="1"/>
  <c r="F644" i="3"/>
  <c r="F642" i="3" s="1"/>
  <c r="H644" i="3"/>
  <c r="H642" i="3" s="1"/>
  <c r="I644" i="3"/>
  <c r="I642" i="3" s="1"/>
  <c r="J644" i="3"/>
  <c r="J642" i="3" s="1"/>
  <c r="K644" i="3"/>
  <c r="K642" i="3" s="1"/>
  <c r="L644" i="3"/>
  <c r="L642" i="3" s="1"/>
  <c r="E644" i="3"/>
  <c r="E642" i="3" s="1"/>
  <c r="H637" i="3"/>
  <c r="H635" i="3" s="1"/>
  <c r="I637" i="3"/>
  <c r="I635" i="3" s="1"/>
  <c r="J637" i="3"/>
  <c r="J635" i="3" s="1"/>
  <c r="K637" i="3"/>
  <c r="K635" i="3" s="1"/>
  <c r="L637" i="3"/>
  <c r="L635" i="3" s="1"/>
  <c r="E637" i="3"/>
  <c r="E635" i="3" s="1"/>
  <c r="F693" i="3"/>
  <c r="F691" i="3" s="1"/>
  <c r="G693" i="3"/>
  <c r="G691" i="3" s="1"/>
  <c r="H693" i="3"/>
  <c r="H691" i="3" s="1"/>
  <c r="I693" i="3"/>
  <c r="I691" i="3" s="1"/>
  <c r="J693" i="3"/>
  <c r="J691" i="3" s="1"/>
  <c r="K693" i="3"/>
  <c r="K691" i="3" s="1"/>
  <c r="L693" i="3"/>
  <c r="L691" i="3" s="1"/>
  <c r="E693" i="3"/>
  <c r="E691" i="3" s="1"/>
  <c r="F684" i="3"/>
  <c r="I686" i="3"/>
  <c r="I684" i="3" s="1"/>
  <c r="J686" i="3"/>
  <c r="J684" i="3" s="1"/>
  <c r="E684" i="3"/>
  <c r="B663" i="3"/>
  <c r="F665" i="3"/>
  <c r="F663" i="3" s="1"/>
  <c r="G665" i="3"/>
  <c r="G663" i="3" s="1"/>
  <c r="H665" i="3"/>
  <c r="H663" i="3" s="1"/>
  <c r="I665" i="3"/>
  <c r="I663" i="3" s="1"/>
  <c r="J665" i="3"/>
  <c r="J663" i="3" s="1"/>
  <c r="K665" i="3"/>
  <c r="K663" i="3" s="1"/>
  <c r="L665" i="3"/>
  <c r="L663" i="3" s="1"/>
  <c r="E665" i="3"/>
  <c r="E663" i="3" s="1"/>
  <c r="M665" i="3"/>
  <c r="F658" i="3"/>
  <c r="F656" i="3" s="1"/>
  <c r="G658" i="3"/>
  <c r="G656" i="3" s="1"/>
  <c r="I658" i="3"/>
  <c r="I656" i="3" s="1"/>
  <c r="J658" i="3"/>
  <c r="J656" i="3" s="1"/>
  <c r="K658" i="3"/>
  <c r="K656" i="3" s="1"/>
  <c r="L658" i="3"/>
  <c r="L656" i="3" s="1"/>
  <c r="E658" i="3"/>
  <c r="E656" i="3" s="1"/>
  <c r="F623" i="3"/>
  <c r="F621" i="3" s="1"/>
  <c r="G623" i="3"/>
  <c r="G621" i="3" s="1"/>
  <c r="H623" i="3"/>
  <c r="H621" i="3" s="1"/>
  <c r="I623" i="3"/>
  <c r="I621" i="3" s="1"/>
  <c r="J623" i="3"/>
  <c r="J621" i="3" s="1"/>
  <c r="K623" i="3"/>
  <c r="K621" i="3" s="1"/>
  <c r="L623" i="3"/>
  <c r="L621" i="3" s="1"/>
  <c r="E623" i="3"/>
  <c r="E621" i="3" s="1"/>
  <c r="F616" i="3"/>
  <c r="F614" i="3" s="1"/>
  <c r="H616" i="3"/>
  <c r="H614" i="3" s="1"/>
  <c r="I616" i="3"/>
  <c r="I614" i="3" s="1"/>
  <c r="J616" i="3"/>
  <c r="J614" i="3" s="1"/>
  <c r="K616" i="3"/>
  <c r="K614" i="3" s="1"/>
  <c r="L616" i="3"/>
  <c r="L614" i="3" s="1"/>
  <c r="E616" i="3"/>
  <c r="E614" i="3" s="1"/>
  <c r="F600" i="3"/>
  <c r="G600" i="3"/>
  <c r="H600" i="3"/>
  <c r="E600" i="3"/>
  <c r="H595" i="3"/>
  <c r="H593" i="3" s="1"/>
  <c r="I595" i="3"/>
  <c r="I593" i="3" s="1"/>
  <c r="J595" i="3"/>
  <c r="J593" i="3" s="1"/>
  <c r="K595" i="3"/>
  <c r="K593" i="3" s="1"/>
  <c r="L595" i="3"/>
  <c r="L593" i="3" s="1"/>
  <c r="E595" i="3"/>
  <c r="E593" i="3" s="1"/>
  <c r="F588" i="3"/>
  <c r="F586" i="3" s="1"/>
  <c r="G588" i="3"/>
  <c r="G586" i="3" s="1"/>
  <c r="H588" i="3"/>
  <c r="H586" i="3" s="1"/>
  <c r="I588" i="3"/>
  <c r="I586" i="3" s="1"/>
  <c r="J588" i="3"/>
  <c r="J586" i="3" s="1"/>
  <c r="K588" i="3"/>
  <c r="K586" i="3" s="1"/>
  <c r="L588" i="3"/>
  <c r="L586" i="3" s="1"/>
  <c r="E588" i="3"/>
  <c r="E586" i="3" s="1"/>
  <c r="K581" i="3"/>
  <c r="K579" i="3" s="1"/>
  <c r="L581" i="3"/>
  <c r="L579" i="3" s="1"/>
  <c r="F546" i="3"/>
  <c r="F544" i="3" s="1"/>
  <c r="H546" i="3"/>
  <c r="H544" i="3" s="1"/>
  <c r="I546" i="3"/>
  <c r="I544" i="3" s="1"/>
  <c r="J546" i="3"/>
  <c r="J544" i="3" s="1"/>
  <c r="K546" i="3"/>
  <c r="K544" i="3" s="1"/>
  <c r="L546" i="3"/>
  <c r="L544" i="3" s="1"/>
  <c r="E546" i="3"/>
  <c r="E544" i="3" s="1"/>
  <c r="F539" i="3"/>
  <c r="F537" i="3" s="1"/>
  <c r="H539" i="3"/>
  <c r="H537" i="3" s="1"/>
  <c r="I539" i="3"/>
  <c r="I537" i="3" s="1"/>
  <c r="J539" i="3"/>
  <c r="J537" i="3" s="1"/>
  <c r="K539" i="3"/>
  <c r="K537" i="3" s="1"/>
  <c r="L539" i="3"/>
  <c r="L537" i="3" s="1"/>
  <c r="E539" i="3"/>
  <c r="E537" i="3" s="1"/>
  <c r="H532" i="3"/>
  <c r="H530" i="3" s="1"/>
  <c r="I532" i="3"/>
  <c r="I530" i="3" s="1"/>
  <c r="J532" i="3"/>
  <c r="J530" i="3" s="1"/>
  <c r="K532" i="3"/>
  <c r="K530" i="3" s="1"/>
  <c r="L532" i="3"/>
  <c r="L530" i="3" s="1"/>
  <c r="E532" i="3"/>
  <c r="E530" i="3" s="1"/>
  <c r="M524" i="3"/>
  <c r="F511" i="3"/>
  <c r="F509" i="3" s="1"/>
  <c r="G511" i="3"/>
  <c r="G509" i="3" s="1"/>
  <c r="H511" i="3"/>
  <c r="H509" i="3" s="1"/>
  <c r="I511" i="3"/>
  <c r="I509" i="3" s="1"/>
  <c r="J511" i="3"/>
  <c r="J509" i="3" s="1"/>
  <c r="K511" i="3"/>
  <c r="K509" i="3" s="1"/>
  <c r="L511" i="3"/>
  <c r="L509" i="3" s="1"/>
  <c r="E511" i="3"/>
  <c r="E509" i="3" s="1"/>
  <c r="M461" i="3"/>
  <c r="I462" i="3"/>
  <c r="J462" i="3"/>
  <c r="K462" i="3"/>
  <c r="L462" i="3"/>
  <c r="H462" i="3"/>
  <c r="E280" i="3"/>
  <c r="I189" i="3"/>
  <c r="J189" i="3"/>
  <c r="K189" i="3"/>
  <c r="L189" i="3"/>
  <c r="H189" i="3"/>
  <c r="F116" i="3"/>
  <c r="G116" i="3"/>
  <c r="H116" i="3"/>
  <c r="I116" i="3"/>
  <c r="J116" i="3"/>
  <c r="K116" i="3"/>
  <c r="L116" i="3"/>
  <c r="E116" i="3"/>
  <c r="M663" i="3" l="1"/>
  <c r="M621" i="3"/>
  <c r="M462" i="3"/>
  <c r="M726" i="3"/>
  <c r="M719" i="3"/>
  <c r="M712" i="3"/>
  <c r="M558" i="3"/>
  <c r="M691" i="3"/>
  <c r="M606" i="3"/>
  <c r="M605" i="3"/>
  <c r="M604" i="3"/>
  <c r="M603" i="3"/>
  <c r="M586" i="3"/>
  <c r="P132" i="1" l="1"/>
  <c r="P121" i="1"/>
  <c r="P120" i="1"/>
  <c r="M728" i="3"/>
  <c r="M721" i="3"/>
  <c r="M714" i="3"/>
  <c r="L217" i="1"/>
  <c r="L203" i="1" s="1"/>
  <c r="K217" i="1"/>
  <c r="K201" i="1" s="1"/>
  <c r="J217" i="1"/>
  <c r="J202" i="1" s="1"/>
  <c r="I217" i="1"/>
  <c r="H217" i="1"/>
  <c r="P216" i="1"/>
  <c r="M560" i="3" s="1"/>
  <c r="I215" i="1"/>
  <c r="O242" i="1"/>
  <c r="N242" i="1"/>
  <c r="M242" i="1"/>
  <c r="L242" i="1"/>
  <c r="K242" i="1"/>
  <c r="K239" i="1" s="1"/>
  <c r="K220" i="1" s="1"/>
  <c r="K218" i="1" s="1"/>
  <c r="J242" i="1"/>
  <c r="G651" i="3" s="1"/>
  <c r="G649" i="3" s="1"/>
  <c r="I242" i="1"/>
  <c r="F651" i="3" s="1"/>
  <c r="F649" i="3" s="1"/>
  <c r="J241" i="1"/>
  <c r="J240" i="1"/>
  <c r="I240" i="1"/>
  <c r="E630" i="3"/>
  <c r="P133" i="1"/>
  <c r="M308" i="3" s="1"/>
  <c r="I202" i="1" l="1"/>
  <c r="I201" i="1" s="1"/>
  <c r="K192" i="1"/>
  <c r="K18" i="1" s="1"/>
  <c r="K203" i="1"/>
  <c r="K194" i="1" s="1"/>
  <c r="J201" i="1"/>
  <c r="G518" i="3"/>
  <c r="H193" i="1"/>
  <c r="H202" i="1"/>
  <c r="M239" i="1"/>
  <c r="M220" i="1" s="1"/>
  <c r="M218" i="1" s="1"/>
  <c r="M194" i="1"/>
  <c r="L201" i="1"/>
  <c r="L194" i="1"/>
  <c r="O239" i="1"/>
  <c r="O220" i="1" s="1"/>
  <c r="O218" i="1" s="1"/>
  <c r="O194" i="1"/>
  <c r="N239" i="1"/>
  <c r="N220" i="1" s="1"/>
  <c r="N218" i="1" s="1"/>
  <c r="N194" i="1"/>
  <c r="I193" i="1"/>
  <c r="J193" i="1"/>
  <c r="E567" i="3"/>
  <c r="E565" i="3" s="1"/>
  <c r="J239" i="1"/>
  <c r="F637" i="3"/>
  <c r="F635" i="3" s="1"/>
  <c r="I239" i="1"/>
  <c r="I651" i="3"/>
  <c r="I649" i="3" s="1"/>
  <c r="L239" i="1"/>
  <c r="L220" i="1" s="1"/>
  <c r="L218" i="1" s="1"/>
  <c r="H705" i="3"/>
  <c r="H567" i="3"/>
  <c r="H565" i="3" s="1"/>
  <c r="I705" i="3"/>
  <c r="I567" i="3"/>
  <c r="I565" i="3" s="1"/>
  <c r="F705" i="3"/>
  <c r="F567" i="3"/>
  <c r="F565" i="3" s="1"/>
  <c r="G705" i="3"/>
  <c r="G567" i="3"/>
  <c r="G565" i="3" s="1"/>
  <c r="G637" i="3"/>
  <c r="G635" i="3" s="1"/>
  <c r="M635" i="3" s="1"/>
  <c r="E705" i="3"/>
  <c r="H651" i="3"/>
  <c r="H649" i="3" s="1"/>
  <c r="J651" i="3"/>
  <c r="J649" i="3" s="1"/>
  <c r="L651" i="3"/>
  <c r="L649" i="3" s="1"/>
  <c r="E628" i="3"/>
  <c r="P241" i="1"/>
  <c r="M644" i="3" s="1"/>
  <c r="G644" i="3"/>
  <c r="G642" i="3" s="1"/>
  <c r="M642" i="3" s="1"/>
  <c r="K651" i="3"/>
  <c r="K649" i="3" s="1"/>
  <c r="P214" i="1"/>
  <c r="M553" i="3" s="1"/>
  <c r="F553" i="3"/>
  <c r="F551" i="3" s="1"/>
  <c r="M551" i="3" s="1"/>
  <c r="P240" i="1"/>
  <c r="P242" i="1"/>
  <c r="M651" i="3" s="1"/>
  <c r="P217" i="1"/>
  <c r="M567" i="3" s="1"/>
  <c r="F518" i="3" l="1"/>
  <c r="M637" i="3"/>
  <c r="M672" i="3"/>
  <c r="P202" i="1"/>
  <c r="H201" i="1"/>
  <c r="E518" i="3"/>
  <c r="H192" i="1"/>
  <c r="H18" i="1" s="1"/>
  <c r="P193" i="1"/>
  <c r="I219" i="1"/>
  <c r="I218" i="1" s="1"/>
  <c r="J219" i="1"/>
  <c r="N192" i="1"/>
  <c r="N18" i="1" s="1"/>
  <c r="O192" i="1"/>
  <c r="O18" i="1" s="1"/>
  <c r="M192" i="1"/>
  <c r="M18" i="1" s="1"/>
  <c r="I630" i="3"/>
  <c r="I628" i="3" s="1"/>
  <c r="M565" i="3"/>
  <c r="M705" i="3"/>
  <c r="L630" i="3"/>
  <c r="L628" i="3" s="1"/>
  <c r="J630" i="3"/>
  <c r="J628" i="3" s="1"/>
  <c r="H630" i="3"/>
  <c r="H628" i="3" s="1"/>
  <c r="G630" i="3"/>
  <c r="G628" i="3" s="1"/>
  <c r="F630" i="3"/>
  <c r="F628" i="3" s="1"/>
  <c r="K630" i="3"/>
  <c r="K628" i="3" s="1"/>
  <c r="M649" i="3"/>
  <c r="J218" i="1" l="1"/>
  <c r="J192" i="1"/>
  <c r="F574" i="3"/>
  <c r="I192" i="1"/>
  <c r="I18" i="1" s="1"/>
  <c r="G574" i="3"/>
  <c r="J18" i="1"/>
  <c r="P219" i="1"/>
  <c r="L192" i="1"/>
  <c r="L18" i="1" s="1"/>
  <c r="P239" i="1"/>
  <c r="M630" i="3" s="1"/>
  <c r="M628" i="3"/>
  <c r="M623" i="3"/>
  <c r="G609" i="3"/>
  <c r="G607" i="3" s="1"/>
  <c r="L609" i="3"/>
  <c r="L607" i="3" s="1"/>
  <c r="K609" i="3"/>
  <c r="K607" i="3" s="1"/>
  <c r="J609" i="3"/>
  <c r="J607" i="3" s="1"/>
  <c r="I609" i="3"/>
  <c r="I607" i="3" s="1"/>
  <c r="H609" i="3"/>
  <c r="H607" i="3" s="1"/>
  <c r="F609" i="3"/>
  <c r="F607" i="3" s="1"/>
  <c r="E609" i="3"/>
  <c r="E607" i="3" s="1"/>
  <c r="J600" i="3"/>
  <c r="I600" i="3"/>
  <c r="M588" i="3"/>
  <c r="K600" i="3" l="1"/>
  <c r="K574" i="3"/>
  <c r="K572" i="3" s="1"/>
  <c r="L600" i="3"/>
  <c r="L574" i="3"/>
  <c r="L572" i="3" s="1"/>
  <c r="I581" i="3"/>
  <c r="I579" i="3" s="1"/>
  <c r="I574" i="3"/>
  <c r="I572" i="3" s="1"/>
  <c r="H581" i="3"/>
  <c r="H579" i="3" s="1"/>
  <c r="H574" i="3"/>
  <c r="H572" i="3" s="1"/>
  <c r="J581" i="3"/>
  <c r="J579" i="3" s="1"/>
  <c r="J574" i="3"/>
  <c r="J572" i="3" s="1"/>
  <c r="M607" i="3"/>
  <c r="E572" i="3"/>
  <c r="E581" i="3"/>
  <c r="E579" i="3" s="1"/>
  <c r="G595" i="3"/>
  <c r="G593" i="3" s="1"/>
  <c r="M616" i="3"/>
  <c r="G616" i="3"/>
  <c r="G614" i="3" s="1"/>
  <c r="M614" i="3" s="1"/>
  <c r="M658" i="3"/>
  <c r="H658" i="3"/>
  <c r="H656" i="3" s="1"/>
  <c r="M656" i="3" s="1"/>
  <c r="M595" i="3"/>
  <c r="F595" i="3"/>
  <c r="F593" i="3" s="1"/>
  <c r="M609" i="3"/>
  <c r="M602" i="3"/>
  <c r="J679" i="3"/>
  <c r="J677" i="3" s="1"/>
  <c r="I679" i="3"/>
  <c r="I677" i="3" s="1"/>
  <c r="F677" i="3"/>
  <c r="E677" i="3"/>
  <c r="E525" i="3"/>
  <c r="E523" i="3" s="1"/>
  <c r="G532" i="3"/>
  <c r="G530" i="3" s="1"/>
  <c r="L504" i="3"/>
  <c r="L502" i="3" s="1"/>
  <c r="K504" i="3"/>
  <c r="K502" i="3" s="1"/>
  <c r="J504" i="3"/>
  <c r="J502" i="3" s="1"/>
  <c r="I504" i="3"/>
  <c r="I502" i="3" s="1"/>
  <c r="H504" i="3"/>
  <c r="H502" i="3" s="1"/>
  <c r="G502" i="3"/>
  <c r="F502" i="3"/>
  <c r="E502" i="3"/>
  <c r="M693" i="3"/>
  <c r="M600" i="3" l="1"/>
  <c r="G581" i="3"/>
  <c r="G579" i="3" s="1"/>
  <c r="G572" i="3"/>
  <c r="F572" i="3"/>
  <c r="M593" i="3"/>
  <c r="M502" i="3"/>
  <c r="M504" i="3"/>
  <c r="M511" i="3"/>
  <c r="M546" i="3"/>
  <c r="G546" i="3"/>
  <c r="G544" i="3" s="1"/>
  <c r="M544" i="3" s="1"/>
  <c r="H518" i="3"/>
  <c r="H516" i="3" s="1"/>
  <c r="H525" i="3"/>
  <c r="H523" i="3" s="1"/>
  <c r="J518" i="3"/>
  <c r="J516" i="3" s="1"/>
  <c r="J525" i="3"/>
  <c r="J523" i="3" s="1"/>
  <c r="L518" i="3"/>
  <c r="L516" i="3" s="1"/>
  <c r="L525" i="3"/>
  <c r="L523" i="3" s="1"/>
  <c r="G684" i="3"/>
  <c r="L679" i="3"/>
  <c r="L677" i="3" s="1"/>
  <c r="L686" i="3"/>
  <c r="L684" i="3" s="1"/>
  <c r="H679" i="3"/>
  <c r="H677" i="3" s="1"/>
  <c r="H686" i="3"/>
  <c r="F581" i="3"/>
  <c r="F579" i="3" s="1"/>
  <c r="F532" i="3"/>
  <c r="F530" i="3" s="1"/>
  <c r="M530" i="3" s="1"/>
  <c r="M539" i="3"/>
  <c r="G539" i="3"/>
  <c r="G537" i="3" s="1"/>
  <c r="M537" i="3" s="1"/>
  <c r="I518" i="3"/>
  <c r="I516" i="3" s="1"/>
  <c r="I525" i="3"/>
  <c r="I523" i="3" s="1"/>
  <c r="K518" i="3"/>
  <c r="K516" i="3" s="1"/>
  <c r="K525" i="3"/>
  <c r="K523" i="3" s="1"/>
  <c r="K679" i="3"/>
  <c r="K677" i="3" s="1"/>
  <c r="K686" i="3"/>
  <c r="K684" i="3" s="1"/>
  <c r="M581" i="3"/>
  <c r="E516" i="3"/>
  <c r="M532" i="3"/>
  <c r="H684" i="3" l="1"/>
  <c r="M684" i="3" s="1"/>
  <c r="M686" i="3"/>
  <c r="P218" i="1"/>
  <c r="M574" i="3" s="1"/>
  <c r="M579" i="3"/>
  <c r="L497" i="3"/>
  <c r="L495" i="3" s="1"/>
  <c r="K497" i="3"/>
  <c r="K495" i="3" s="1"/>
  <c r="G516" i="3"/>
  <c r="G525" i="3"/>
  <c r="G523" i="3" s="1"/>
  <c r="F525" i="3"/>
  <c r="F523" i="3" s="1"/>
  <c r="P247" i="1"/>
  <c r="M679" i="3" s="1"/>
  <c r="G677" i="3"/>
  <c r="P204" i="1"/>
  <c r="M525" i="3" s="1"/>
  <c r="E497" i="3" l="1"/>
  <c r="E495" i="3" s="1"/>
  <c r="I497" i="3"/>
  <c r="I495" i="3" s="1"/>
  <c r="P201" i="1"/>
  <c r="M518" i="3" s="1"/>
  <c r="J497" i="3"/>
  <c r="J495" i="3" s="1"/>
  <c r="H497" i="3"/>
  <c r="H495" i="3" s="1"/>
  <c r="F516" i="3"/>
  <c r="J175" i="1"/>
  <c r="J55" i="1"/>
  <c r="J57" i="1"/>
  <c r="G133" i="3" s="1"/>
  <c r="J172" i="1" l="1"/>
  <c r="G497" i="3"/>
  <c r="G495" i="3" s="1"/>
  <c r="P192" i="1"/>
  <c r="M497" i="3" s="1"/>
  <c r="P174" i="1"/>
  <c r="F497" i="3"/>
  <c r="F495" i="3" s="1"/>
  <c r="K44" i="1"/>
  <c r="J171" i="1" l="1"/>
  <c r="G413" i="3"/>
  <c r="J169" i="1"/>
  <c r="P172" i="1"/>
  <c r="K41" i="1" l="1"/>
  <c r="K39" i="1"/>
  <c r="K385" i="3"/>
  <c r="K24" i="1" l="1"/>
  <c r="K22" i="1"/>
  <c r="F36" i="3"/>
  <c r="F29" i="3" s="1"/>
  <c r="G36" i="3"/>
  <c r="G29" i="3" s="1"/>
  <c r="H36" i="3"/>
  <c r="H29" i="3" s="1"/>
  <c r="I36" i="3"/>
  <c r="I29" i="3" s="1"/>
  <c r="J36" i="3"/>
  <c r="J29" i="3" s="1"/>
  <c r="K36" i="3"/>
  <c r="K29" i="3" s="1"/>
  <c r="L36" i="3"/>
  <c r="L29" i="3" s="1"/>
  <c r="E36" i="3"/>
  <c r="E29" i="3" s="1"/>
  <c r="E414" i="3"/>
  <c r="F414" i="3"/>
  <c r="F407" i="3" s="1"/>
  <c r="G414" i="3"/>
  <c r="G407" i="3" s="1"/>
  <c r="M421" i="3"/>
  <c r="E420" i="3"/>
  <c r="F420" i="3"/>
  <c r="G420" i="3"/>
  <c r="G418" i="3" s="1"/>
  <c r="M414" i="3" l="1"/>
  <c r="M29" i="3"/>
  <c r="M36" i="3"/>
  <c r="E407" i="3"/>
  <c r="M407" i="3" s="1"/>
  <c r="F418" i="3"/>
  <c r="E418" i="3"/>
  <c r="H164" i="1" l="1"/>
  <c r="E406" i="3" s="1"/>
  <c r="E404" i="3" s="1"/>
  <c r="I164" i="1"/>
  <c r="F406" i="3" s="1"/>
  <c r="F404" i="3" s="1"/>
  <c r="J164" i="1"/>
  <c r="G406" i="3" s="1"/>
  <c r="G404" i="3" s="1"/>
  <c r="I431" i="3"/>
  <c r="J431" i="3"/>
  <c r="K431" i="3"/>
  <c r="L431" i="3"/>
  <c r="H431" i="3"/>
  <c r="E377" i="3"/>
  <c r="F377" i="3"/>
  <c r="H377" i="3"/>
  <c r="I377" i="3"/>
  <c r="J377" i="3"/>
  <c r="K377" i="3"/>
  <c r="L377" i="3"/>
  <c r="F246" i="3"/>
  <c r="G246" i="3"/>
  <c r="E246" i="3"/>
  <c r="I79" i="3"/>
  <c r="J79" i="3"/>
  <c r="K79" i="3"/>
  <c r="L79" i="3"/>
  <c r="E80" i="3"/>
  <c r="E24" i="3" s="1"/>
  <c r="F78" i="3"/>
  <c r="F22" i="3" s="1"/>
  <c r="G78" i="3"/>
  <c r="G22" i="3" s="1"/>
  <c r="H78" i="3"/>
  <c r="H22" i="3" s="1"/>
  <c r="I78" i="3"/>
  <c r="I22" i="3" s="1"/>
  <c r="J78" i="3"/>
  <c r="J22" i="3" s="1"/>
  <c r="K78" i="3"/>
  <c r="K22" i="3" s="1"/>
  <c r="L78" i="3"/>
  <c r="L22" i="3" s="1"/>
  <c r="E78" i="3"/>
  <c r="E22" i="3" s="1"/>
  <c r="M38" i="3"/>
  <c r="G37" i="3"/>
  <c r="G35" i="3" s="1"/>
  <c r="G28" i="3"/>
  <c r="M431" i="3" l="1"/>
  <c r="G411" i="3"/>
  <c r="J20" i="1"/>
  <c r="F411" i="3"/>
  <c r="E411" i="3"/>
  <c r="H20" i="1"/>
  <c r="E77" i="3"/>
  <c r="M22" i="3"/>
  <c r="M78" i="3"/>
  <c r="K189" i="1"/>
  <c r="K165" i="1" s="1"/>
  <c r="L189" i="1"/>
  <c r="L165" i="1" s="1"/>
  <c r="M189" i="1"/>
  <c r="M165" i="1" s="1"/>
  <c r="N189" i="1"/>
  <c r="N165" i="1" s="1"/>
  <c r="O189" i="1"/>
  <c r="O165" i="1" s="1"/>
  <c r="I427" i="3"/>
  <c r="I425" i="3" s="1"/>
  <c r="K427" i="3"/>
  <c r="K425" i="3" s="1"/>
  <c r="L427" i="3"/>
  <c r="L425" i="3" s="1"/>
  <c r="H427" i="3"/>
  <c r="H425" i="3" s="1"/>
  <c r="E341" i="3"/>
  <c r="H21" i="1"/>
  <c r="K135" i="1"/>
  <c r="L135" i="1"/>
  <c r="M135" i="1"/>
  <c r="N135" i="1"/>
  <c r="O135" i="1"/>
  <c r="F285" i="3"/>
  <c r="K124" i="1"/>
  <c r="H287" i="3" s="1"/>
  <c r="H285" i="3" s="1"/>
  <c r="L124" i="1"/>
  <c r="I287" i="3" s="1"/>
  <c r="I285" i="3" s="1"/>
  <c r="M124" i="1"/>
  <c r="J287" i="3" s="1"/>
  <c r="J285" i="3" s="1"/>
  <c r="N124" i="1"/>
  <c r="K287" i="3" s="1"/>
  <c r="K285" i="3" s="1"/>
  <c r="O124" i="1"/>
  <c r="L287" i="3" s="1"/>
  <c r="L285" i="3" s="1"/>
  <c r="E285" i="3"/>
  <c r="M92" i="1"/>
  <c r="N92" i="1"/>
  <c r="O92" i="1"/>
  <c r="I97" i="1"/>
  <c r="K92" i="1"/>
  <c r="L92" i="1"/>
  <c r="H168" i="3"/>
  <c r="H166" i="3" s="1"/>
  <c r="J168" i="3"/>
  <c r="J166" i="3" s="1"/>
  <c r="L168" i="3"/>
  <c r="L166" i="3" s="1"/>
  <c r="E37" i="3"/>
  <c r="I93" i="1" l="1"/>
  <c r="P165" i="1"/>
  <c r="L483" i="3"/>
  <c r="L481" i="3" s="1"/>
  <c r="H483" i="3"/>
  <c r="H481" i="3" s="1"/>
  <c r="K483" i="3"/>
  <c r="K481" i="3" s="1"/>
  <c r="J483" i="3"/>
  <c r="J481" i="3" s="1"/>
  <c r="I483" i="3"/>
  <c r="I481" i="3" s="1"/>
  <c r="E35" i="3"/>
  <c r="K413" i="3"/>
  <c r="K411" i="3" s="1"/>
  <c r="N170" i="1"/>
  <c r="N20" i="1" s="1"/>
  <c r="J413" i="3"/>
  <c r="J411" i="3" s="1"/>
  <c r="M170" i="1"/>
  <c r="M20" i="1" s="1"/>
  <c r="I413" i="3"/>
  <c r="I411" i="3" s="1"/>
  <c r="L170" i="1"/>
  <c r="L20" i="1" s="1"/>
  <c r="L413" i="3"/>
  <c r="L411" i="3" s="1"/>
  <c r="O170" i="1"/>
  <c r="O20" i="1" s="1"/>
  <c r="H413" i="3"/>
  <c r="H411" i="3" s="1"/>
  <c r="K170" i="1"/>
  <c r="E243" i="3"/>
  <c r="H15" i="1"/>
  <c r="I322" i="3"/>
  <c r="I320" i="3" s="1"/>
  <c r="L21" i="1"/>
  <c r="F243" i="3"/>
  <c r="I15" i="1"/>
  <c r="L322" i="3"/>
  <c r="L320" i="3" s="1"/>
  <c r="O21" i="1"/>
  <c r="H322" i="3"/>
  <c r="H320" i="3" s="1"/>
  <c r="K21" i="1"/>
  <c r="J322" i="3"/>
  <c r="J320" i="3" s="1"/>
  <c r="M21" i="1"/>
  <c r="K322" i="3"/>
  <c r="K320" i="3" s="1"/>
  <c r="N21" i="1"/>
  <c r="E320" i="3"/>
  <c r="I37" i="3"/>
  <c r="I35" i="3" s="1"/>
  <c r="N164" i="1"/>
  <c r="K406" i="3" s="1"/>
  <c r="L164" i="1"/>
  <c r="I406" i="3" s="1"/>
  <c r="K37" i="3"/>
  <c r="K35" i="3" s="1"/>
  <c r="L37" i="3"/>
  <c r="L35" i="3" s="1"/>
  <c r="J37" i="3"/>
  <c r="J35" i="3" s="1"/>
  <c r="H37" i="3"/>
  <c r="H35" i="3" s="1"/>
  <c r="E161" i="3"/>
  <c r="E159" i="3" s="1"/>
  <c r="E166" i="3"/>
  <c r="N66" i="1"/>
  <c r="K161" i="3" s="1"/>
  <c r="K159" i="3" s="1"/>
  <c r="K168" i="3"/>
  <c r="K166" i="3" s="1"/>
  <c r="L66" i="1"/>
  <c r="I161" i="3" s="1"/>
  <c r="I159" i="3" s="1"/>
  <c r="I168" i="3"/>
  <c r="I166" i="3" s="1"/>
  <c r="K66" i="1"/>
  <c r="H161" i="3" s="1"/>
  <c r="H159" i="3" s="1"/>
  <c r="O66" i="1"/>
  <c r="L161" i="3" s="1"/>
  <c r="L159" i="3" s="1"/>
  <c r="M66" i="1"/>
  <c r="J161" i="3" s="1"/>
  <c r="J159" i="3" s="1"/>
  <c r="O164" i="1"/>
  <c r="L406" i="3" s="1"/>
  <c r="M164" i="1"/>
  <c r="J406" i="3" s="1"/>
  <c r="K164" i="1"/>
  <c r="H406" i="3" s="1"/>
  <c r="P177" i="1"/>
  <c r="M427" i="3" s="1"/>
  <c r="J427" i="3"/>
  <c r="J425" i="3" s="1"/>
  <c r="M425" i="3" s="1"/>
  <c r="K20" i="1" l="1"/>
  <c r="P169" i="1"/>
  <c r="P93" i="1"/>
  <c r="M481" i="3"/>
  <c r="M483" i="3"/>
  <c r="J30" i="3"/>
  <c r="J28" i="3" s="1"/>
  <c r="K30" i="3"/>
  <c r="K28" i="3" s="1"/>
  <c r="H30" i="3"/>
  <c r="H28" i="3" s="1"/>
  <c r="L30" i="3"/>
  <c r="L28" i="3" s="1"/>
  <c r="I30" i="3"/>
  <c r="I28" i="3" s="1"/>
  <c r="P164" i="1"/>
  <c r="M411" i="3"/>
  <c r="E28" i="3" l="1"/>
  <c r="J315" i="3"/>
  <c r="J313" i="3" s="1"/>
  <c r="K315" i="3"/>
  <c r="K313" i="3" s="1"/>
  <c r="L315" i="3"/>
  <c r="L313" i="3" s="1"/>
  <c r="J308" i="3"/>
  <c r="J306" i="3" s="1"/>
  <c r="K308" i="3"/>
  <c r="K306" i="3" s="1"/>
  <c r="L308" i="3"/>
  <c r="L306" i="3" s="1"/>
  <c r="J476" i="3"/>
  <c r="J474" i="3" s="1"/>
  <c r="K476" i="3"/>
  <c r="K474" i="3" s="1"/>
  <c r="L476" i="3"/>
  <c r="L474" i="3" s="1"/>
  <c r="J469" i="3"/>
  <c r="J467" i="3" s="1"/>
  <c r="K469" i="3"/>
  <c r="K467" i="3" s="1"/>
  <c r="L469" i="3"/>
  <c r="L467" i="3" s="1"/>
  <c r="J460" i="3"/>
  <c r="K460" i="3"/>
  <c r="L460" i="3"/>
  <c r="J455" i="3"/>
  <c r="J453" i="3" s="1"/>
  <c r="K455" i="3"/>
  <c r="K453" i="3" s="1"/>
  <c r="L455" i="3"/>
  <c r="L453" i="3" s="1"/>
  <c r="J490" i="3"/>
  <c r="J488" i="3" s="1"/>
  <c r="K490" i="3"/>
  <c r="K488" i="3" s="1"/>
  <c r="L490" i="3"/>
  <c r="L488" i="3" s="1"/>
  <c r="J448" i="3"/>
  <c r="J446" i="3" s="1"/>
  <c r="K448" i="3"/>
  <c r="K446" i="3" s="1"/>
  <c r="L448" i="3"/>
  <c r="L446" i="3" s="1"/>
  <c r="J441" i="3"/>
  <c r="J439" i="3" s="1"/>
  <c r="K441" i="3"/>
  <c r="K439" i="3" s="1"/>
  <c r="L441" i="3"/>
  <c r="L439" i="3" s="1"/>
  <c r="J434" i="3"/>
  <c r="J432" i="3" s="1"/>
  <c r="K434" i="3"/>
  <c r="K432" i="3" s="1"/>
  <c r="L434" i="3"/>
  <c r="L432" i="3" s="1"/>
  <c r="J420" i="3"/>
  <c r="J418" i="3" s="1"/>
  <c r="K420" i="3"/>
  <c r="K418" i="3" s="1"/>
  <c r="L420" i="3"/>
  <c r="L418" i="3" s="1"/>
  <c r="J355" i="3"/>
  <c r="K355" i="3"/>
  <c r="L355" i="3"/>
  <c r="J278" i="3"/>
  <c r="K278" i="3"/>
  <c r="L278" i="3"/>
  <c r="J329" i="3"/>
  <c r="J327" i="3" s="1"/>
  <c r="K329" i="3"/>
  <c r="K327" i="3" s="1"/>
  <c r="L329" i="3"/>
  <c r="L327" i="3" s="1"/>
  <c r="J273" i="3"/>
  <c r="J271" i="3" s="1"/>
  <c r="K273" i="3"/>
  <c r="K271" i="3" s="1"/>
  <c r="L273" i="3"/>
  <c r="L271" i="3" s="1"/>
  <c r="J266" i="3"/>
  <c r="J264" i="3" s="1"/>
  <c r="K266" i="3"/>
  <c r="K264" i="3" s="1"/>
  <c r="L266" i="3"/>
  <c r="L264" i="3" s="1"/>
  <c r="J301" i="3"/>
  <c r="J299" i="3" s="1"/>
  <c r="K301" i="3"/>
  <c r="K299" i="3" s="1"/>
  <c r="L301" i="3"/>
  <c r="L299" i="3" s="1"/>
  <c r="M119" i="1"/>
  <c r="N119" i="1"/>
  <c r="O119" i="1"/>
  <c r="M115" i="1"/>
  <c r="N115" i="1"/>
  <c r="O115" i="1"/>
  <c r="M114" i="1"/>
  <c r="M108" i="1" s="1"/>
  <c r="M106" i="1" s="1"/>
  <c r="N114" i="1"/>
  <c r="O114" i="1"/>
  <c r="J210" i="3"/>
  <c r="J208" i="3" s="1"/>
  <c r="K210" i="3"/>
  <c r="K208" i="3" s="1"/>
  <c r="L210" i="3"/>
  <c r="L208" i="3" s="1"/>
  <c r="J231" i="3"/>
  <c r="J229" i="3" s="1"/>
  <c r="K231" i="3"/>
  <c r="K229" i="3" s="1"/>
  <c r="L231" i="3"/>
  <c r="L229" i="3" s="1"/>
  <c r="J224" i="3"/>
  <c r="J222" i="3" s="1"/>
  <c r="K224" i="3"/>
  <c r="K222" i="3" s="1"/>
  <c r="L224" i="3"/>
  <c r="L222" i="3" s="1"/>
  <c r="J217" i="3"/>
  <c r="K217" i="3"/>
  <c r="L217" i="3"/>
  <c r="J203" i="3"/>
  <c r="J201" i="3" s="1"/>
  <c r="K203" i="3"/>
  <c r="K201" i="3" s="1"/>
  <c r="L203" i="3"/>
  <c r="L201" i="3" s="1"/>
  <c r="J194" i="3"/>
  <c r="K194" i="3"/>
  <c r="L194" i="3"/>
  <c r="J187" i="3"/>
  <c r="J180" i="3"/>
  <c r="J173" i="3"/>
  <c r="K173" i="3"/>
  <c r="L173" i="3"/>
  <c r="J72" i="3"/>
  <c r="J70" i="3" s="1"/>
  <c r="K72" i="3"/>
  <c r="K70" i="3" s="1"/>
  <c r="L72" i="3"/>
  <c r="L70" i="3" s="1"/>
  <c r="J65" i="3"/>
  <c r="J63" i="3" s="1"/>
  <c r="K65" i="3"/>
  <c r="K63" i="3" s="1"/>
  <c r="L65" i="3"/>
  <c r="L63" i="3" s="1"/>
  <c r="J147" i="3"/>
  <c r="J145" i="3" s="1"/>
  <c r="K147" i="3"/>
  <c r="K145" i="3" s="1"/>
  <c r="L147" i="3"/>
  <c r="L145" i="3" s="1"/>
  <c r="J58" i="3"/>
  <c r="J56" i="3" s="1"/>
  <c r="K58" i="3"/>
  <c r="K56" i="3" s="1"/>
  <c r="L58" i="3"/>
  <c r="L56" i="3" s="1"/>
  <c r="J51" i="3"/>
  <c r="J49" i="3" s="1"/>
  <c r="K51" i="3"/>
  <c r="K49" i="3" s="1"/>
  <c r="L51" i="3"/>
  <c r="L49" i="3" s="1"/>
  <c r="J126" i="3"/>
  <c r="K126" i="3"/>
  <c r="L126" i="3"/>
  <c r="K114" i="3"/>
  <c r="L114" i="3"/>
  <c r="J107" i="3"/>
  <c r="K107" i="3"/>
  <c r="L107" i="3"/>
  <c r="J44" i="3"/>
  <c r="J42" i="3" s="1"/>
  <c r="K44" i="3"/>
  <c r="K42" i="3" s="1"/>
  <c r="L44" i="3"/>
  <c r="L42" i="3" s="1"/>
  <c r="J405" i="3"/>
  <c r="K405" i="3"/>
  <c r="L405" i="3"/>
  <c r="J337" i="3"/>
  <c r="K337" i="3"/>
  <c r="L337" i="3"/>
  <c r="J338" i="3"/>
  <c r="K338" i="3"/>
  <c r="L338" i="3"/>
  <c r="J340" i="3"/>
  <c r="K340" i="3"/>
  <c r="L340" i="3"/>
  <c r="J335" i="3"/>
  <c r="K335" i="3"/>
  <c r="L335" i="3"/>
  <c r="J260" i="3"/>
  <c r="K260" i="3"/>
  <c r="L260" i="3"/>
  <c r="J240" i="3"/>
  <c r="J15" i="3" s="1"/>
  <c r="K240" i="3"/>
  <c r="K15" i="3" s="1"/>
  <c r="L240" i="3"/>
  <c r="L15" i="3" s="1"/>
  <c r="J242" i="3"/>
  <c r="J19" i="3" s="1"/>
  <c r="K242" i="3"/>
  <c r="K19" i="3" s="1"/>
  <c r="L242" i="3"/>
  <c r="L19" i="3" s="1"/>
  <c r="J237" i="3"/>
  <c r="J12" i="3" s="1"/>
  <c r="K237" i="3"/>
  <c r="K12" i="3" s="1"/>
  <c r="L237" i="3"/>
  <c r="L12" i="3" s="1"/>
  <c r="J218" i="3"/>
  <c r="K218" i="3"/>
  <c r="L218" i="3"/>
  <c r="J219" i="3"/>
  <c r="K219" i="3"/>
  <c r="L219" i="3"/>
  <c r="J220" i="3"/>
  <c r="K220" i="3"/>
  <c r="L220" i="3"/>
  <c r="J221" i="3"/>
  <c r="K221" i="3"/>
  <c r="L221" i="3"/>
  <c r="I218" i="3"/>
  <c r="J216" i="3"/>
  <c r="K216" i="3"/>
  <c r="L216" i="3"/>
  <c r="M57" i="3"/>
  <c r="O108" i="1" l="1"/>
  <c r="O106" i="1" s="1"/>
  <c r="O103" i="1" s="1"/>
  <c r="O15" i="1" s="1"/>
  <c r="N108" i="1"/>
  <c r="N106" i="1" s="1"/>
  <c r="L127" i="3"/>
  <c r="L124" i="3" s="1"/>
  <c r="J127" i="3"/>
  <c r="J124" i="3" s="1"/>
  <c r="K127" i="3"/>
  <c r="K124" i="3" s="1"/>
  <c r="K252" i="3"/>
  <c r="K250" i="3" s="1"/>
  <c r="J252" i="3"/>
  <c r="J250" i="3" s="1"/>
  <c r="L252" i="3"/>
  <c r="L250" i="3" s="1"/>
  <c r="L259" i="3"/>
  <c r="L257" i="3" s="1"/>
  <c r="J259" i="3"/>
  <c r="J257" i="3" s="1"/>
  <c r="K259" i="3"/>
  <c r="K257" i="3" s="1"/>
  <c r="L239" i="3"/>
  <c r="L246" i="3"/>
  <c r="J239" i="3"/>
  <c r="J246" i="3"/>
  <c r="K239" i="3"/>
  <c r="K246" i="3"/>
  <c r="L104" i="3"/>
  <c r="J104" i="3"/>
  <c r="K104" i="3"/>
  <c r="L215" i="3"/>
  <c r="J215" i="3"/>
  <c r="M103" i="1"/>
  <c r="M15" i="1" s="1"/>
  <c r="K215" i="3"/>
  <c r="J80" i="3" l="1"/>
  <c r="K80" i="3"/>
  <c r="L80" i="3"/>
  <c r="N100" i="1"/>
  <c r="N103" i="1"/>
  <c r="N15" i="1" s="1"/>
  <c r="K245" i="3"/>
  <c r="K243" i="3" s="1"/>
  <c r="M100" i="1"/>
  <c r="J245" i="3"/>
  <c r="J243" i="3" s="1"/>
  <c r="O100" i="1"/>
  <c r="L245" i="3"/>
  <c r="L243" i="3" s="1"/>
  <c r="K77" i="3" l="1"/>
  <c r="K24" i="3"/>
  <c r="K14" i="3" s="1"/>
  <c r="L24" i="3"/>
  <c r="L14" i="3" s="1"/>
  <c r="J24" i="3"/>
  <c r="J14" i="3" s="1"/>
  <c r="J77" i="3"/>
  <c r="L77" i="3"/>
  <c r="L294" i="3"/>
  <c r="L292" i="3" s="1"/>
  <c r="K294" i="3"/>
  <c r="K292" i="3" s="1"/>
  <c r="J294" i="3"/>
  <c r="J292" i="3" s="1"/>
  <c r="P134" i="1" l="1"/>
  <c r="M315" i="3" s="1"/>
  <c r="P182" i="1"/>
  <c r="P183" i="1"/>
  <c r="P184" i="1"/>
  <c r="P191" i="1"/>
  <c r="P189" i="1" s="1"/>
  <c r="P185" i="1"/>
  <c r="P186" i="1"/>
  <c r="P187" i="1"/>
  <c r="P188" i="1"/>
  <c r="P171" i="1"/>
  <c r="M413" i="3" s="1"/>
  <c r="J404" i="3"/>
  <c r="K404" i="3"/>
  <c r="L404" i="3"/>
  <c r="J399" i="3"/>
  <c r="J397" i="3" s="1"/>
  <c r="K399" i="3"/>
  <c r="K397" i="3" s="1"/>
  <c r="L399" i="3"/>
  <c r="L397" i="3" s="1"/>
  <c r="J343" i="3"/>
  <c r="J341" i="3" s="1"/>
  <c r="K343" i="3" l="1"/>
  <c r="K341" i="3" s="1"/>
  <c r="J350" i="3"/>
  <c r="J348" i="3" s="1"/>
  <c r="K238" i="3"/>
  <c r="L238" i="3"/>
  <c r="J238" i="3"/>
  <c r="P37" i="1"/>
  <c r="P31" i="1"/>
  <c r="J94" i="3"/>
  <c r="K94" i="3"/>
  <c r="L94" i="3"/>
  <c r="K86" i="3" l="1"/>
  <c r="K84" i="3" s="1"/>
  <c r="L86" i="3"/>
  <c r="L84" i="3" s="1"/>
  <c r="J86" i="3"/>
  <c r="J84" i="3" s="1"/>
  <c r="L343" i="3"/>
  <c r="L341" i="3" s="1"/>
  <c r="K350" i="3"/>
  <c r="K348" i="3" s="1"/>
  <c r="L236" i="3"/>
  <c r="K236" i="3"/>
  <c r="J236" i="3"/>
  <c r="M189" i="3"/>
  <c r="M190" i="3"/>
  <c r="M181" i="3"/>
  <c r="I182" i="3"/>
  <c r="H182" i="3"/>
  <c r="E182" i="3"/>
  <c r="M183" i="3"/>
  <c r="J77" i="1"/>
  <c r="J75" i="1" s="1"/>
  <c r="I77" i="1"/>
  <c r="I75" i="1" s="1"/>
  <c r="F175" i="3" l="1"/>
  <c r="G175" i="3"/>
  <c r="K180" i="3"/>
  <c r="P76" i="1"/>
  <c r="G182" i="3"/>
  <c r="G180" i="3" s="1"/>
  <c r="L180" i="3"/>
  <c r="L350" i="3"/>
  <c r="L348" i="3" s="1"/>
  <c r="F182" i="3"/>
  <c r="F180" i="3" s="1"/>
  <c r="G187" i="3"/>
  <c r="M187" i="3" s="1"/>
  <c r="E180" i="3"/>
  <c r="M180" i="3" l="1"/>
  <c r="M182" i="3"/>
  <c r="L23" i="3"/>
  <c r="K23" i="3"/>
  <c r="J23" i="3"/>
  <c r="J139" i="1"/>
  <c r="J136" i="1" s="1"/>
  <c r="J135" i="1" l="1"/>
  <c r="G322" i="3"/>
  <c r="J105" i="1"/>
  <c r="J21" i="3"/>
  <c r="K21" i="3"/>
  <c r="L21" i="3"/>
  <c r="G320" i="3" l="1"/>
  <c r="J21" i="1"/>
  <c r="P57" i="1"/>
  <c r="P160" i="1" l="1"/>
  <c r="I260" i="3"/>
  <c r="I246" i="3" s="1"/>
  <c r="H260" i="3"/>
  <c r="H246" i="3" s="1"/>
  <c r="J118" i="1"/>
  <c r="J113" i="1"/>
  <c r="J112" i="1"/>
  <c r="J107" i="1" s="1"/>
  <c r="J106" i="1" l="1"/>
  <c r="J102" i="1"/>
  <c r="G245" i="3"/>
  <c r="G252" i="3"/>
  <c r="M246" i="3"/>
  <c r="M410" i="3"/>
  <c r="G243" i="3" l="1"/>
  <c r="J15" i="1"/>
  <c r="L119" i="1"/>
  <c r="K119" i="1"/>
  <c r="L115" i="1"/>
  <c r="L114" i="1"/>
  <c r="K115" i="1"/>
  <c r="K114" i="1"/>
  <c r="K108" i="1" l="1"/>
  <c r="L108" i="1"/>
  <c r="L106" i="1" s="1"/>
  <c r="L103" i="1" s="1"/>
  <c r="L15" i="1" s="1"/>
  <c r="I252" i="3"/>
  <c r="P117" i="1"/>
  <c r="J392" i="3"/>
  <c r="P107" i="1" l="1"/>
  <c r="K106" i="1"/>
  <c r="H245" i="3" s="1"/>
  <c r="H243" i="3" s="1"/>
  <c r="M252" i="3"/>
  <c r="P14" i="1"/>
  <c r="L100" i="1"/>
  <c r="I245" i="3"/>
  <c r="I243" i="3" s="1"/>
  <c r="J390" i="3"/>
  <c r="K392" i="3"/>
  <c r="J90" i="1"/>
  <c r="P106" i="1" l="1"/>
  <c r="M245" i="3" s="1"/>
  <c r="K100" i="1"/>
  <c r="K103" i="1"/>
  <c r="P102" i="1" s="1"/>
  <c r="J385" i="3"/>
  <c r="J383" i="3" s="1"/>
  <c r="M243" i="3"/>
  <c r="K390" i="3"/>
  <c r="K383" i="3"/>
  <c r="N143" i="1"/>
  <c r="N13" i="1" s="1"/>
  <c r="N12" i="1" s="1"/>
  <c r="J87" i="1"/>
  <c r="J71" i="1" s="1"/>
  <c r="K15" i="1" l="1"/>
  <c r="J72" i="1"/>
  <c r="J378" i="3"/>
  <c r="J376" i="3" s="1"/>
  <c r="M143" i="1"/>
  <c r="M13" i="1" s="1"/>
  <c r="M12" i="1" s="1"/>
  <c r="M141" i="1"/>
  <c r="P86" i="1"/>
  <c r="N141" i="1"/>
  <c r="K378" i="3"/>
  <c r="K376" i="3" s="1"/>
  <c r="L392" i="3"/>
  <c r="J67" i="1" l="1"/>
  <c r="G168" i="3"/>
  <c r="J66" i="1"/>
  <c r="G161" i="3" s="1"/>
  <c r="G159" i="3" s="1"/>
  <c r="J336" i="3"/>
  <c r="L385" i="3"/>
  <c r="L383" i="3" s="1"/>
  <c r="L390" i="3"/>
  <c r="K336" i="3"/>
  <c r="I405" i="3"/>
  <c r="H405" i="3"/>
  <c r="H476" i="3"/>
  <c r="H474" i="3" s="1"/>
  <c r="I476" i="3"/>
  <c r="I474" i="3" s="1"/>
  <c r="M476" i="3"/>
  <c r="H469" i="3"/>
  <c r="H467" i="3" s="1"/>
  <c r="I469" i="3"/>
  <c r="I467" i="3" s="1"/>
  <c r="H460" i="3"/>
  <c r="I460" i="3"/>
  <c r="H455" i="3"/>
  <c r="H453" i="3" s="1"/>
  <c r="I455" i="3"/>
  <c r="I453" i="3" s="1"/>
  <c r="H490" i="3"/>
  <c r="H488" i="3" s="1"/>
  <c r="I490" i="3"/>
  <c r="I488" i="3" s="1"/>
  <c r="H448" i="3"/>
  <c r="H446" i="3" s="1"/>
  <c r="I448" i="3"/>
  <c r="I446" i="3" s="1"/>
  <c r="H441" i="3"/>
  <c r="H439" i="3" s="1"/>
  <c r="I441" i="3"/>
  <c r="I439" i="3" s="1"/>
  <c r="M441" i="3"/>
  <c r="H434" i="3"/>
  <c r="H432" i="3" s="1"/>
  <c r="I434" i="3"/>
  <c r="I432" i="3" s="1"/>
  <c r="H420" i="3"/>
  <c r="H418" i="3" s="1"/>
  <c r="I420" i="3"/>
  <c r="I418" i="3" s="1"/>
  <c r="M469" i="3"/>
  <c r="M455" i="3"/>
  <c r="M490" i="3"/>
  <c r="M448" i="3"/>
  <c r="M434" i="3"/>
  <c r="M420" i="3"/>
  <c r="K13" i="3" l="1"/>
  <c r="K11" i="3" s="1"/>
  <c r="J13" i="3"/>
  <c r="J11" i="3" s="1"/>
  <c r="J334" i="3"/>
  <c r="L378" i="3"/>
  <c r="L376" i="3" s="1"/>
  <c r="O143" i="1"/>
  <c r="O13" i="1" s="1"/>
  <c r="O12" i="1" s="1"/>
  <c r="O141" i="1"/>
  <c r="M418" i="3"/>
  <c r="M432" i="3"/>
  <c r="K334" i="3"/>
  <c r="M446" i="3"/>
  <c r="M488" i="3"/>
  <c r="M453" i="3"/>
  <c r="M460" i="3"/>
  <c r="I404" i="3"/>
  <c r="M405" i="3"/>
  <c r="M406" i="3"/>
  <c r="H404" i="3"/>
  <c r="M467" i="3"/>
  <c r="M474" i="3"/>
  <c r="G398" i="3"/>
  <c r="L336" i="3" l="1"/>
  <c r="M404" i="3"/>
  <c r="L13" i="3" l="1"/>
  <c r="L11" i="3" s="1"/>
  <c r="L334" i="3"/>
  <c r="J130" i="1"/>
  <c r="J127" i="1" l="1"/>
  <c r="P127" i="1" s="1"/>
  <c r="G173" i="3"/>
  <c r="G250" i="3"/>
  <c r="J162" i="1"/>
  <c r="J43" i="1"/>
  <c r="J39" i="1" s="1"/>
  <c r="E338" i="3"/>
  <c r="M240" i="3"/>
  <c r="I250" i="3"/>
  <c r="I259" i="3"/>
  <c r="I257" i="3" s="1"/>
  <c r="G107" i="3"/>
  <c r="G384" i="3"/>
  <c r="M64" i="3"/>
  <c r="M146" i="3"/>
  <c r="M133" i="3"/>
  <c r="M132" i="3"/>
  <c r="M125" i="3"/>
  <c r="M115" i="3"/>
  <c r="M105" i="3"/>
  <c r="M95" i="3"/>
  <c r="M85" i="3"/>
  <c r="M316" i="3"/>
  <c r="M314" i="3"/>
  <c r="M309" i="3"/>
  <c r="M307" i="3"/>
  <c r="M400" i="3"/>
  <c r="M398" i="3"/>
  <c r="M393" i="3"/>
  <c r="M391" i="3"/>
  <c r="M386" i="3"/>
  <c r="M358" i="3"/>
  <c r="M356" i="3"/>
  <c r="M351" i="3"/>
  <c r="M349" i="3"/>
  <c r="M281" i="3"/>
  <c r="M279" i="3"/>
  <c r="M330" i="3"/>
  <c r="M328" i="3"/>
  <c r="M295" i="3"/>
  <c r="M293" i="3"/>
  <c r="M274" i="3"/>
  <c r="M272" i="3"/>
  <c r="M267" i="3"/>
  <c r="M265" i="3"/>
  <c r="M302" i="3"/>
  <c r="M300" i="3"/>
  <c r="M260" i="3"/>
  <c r="M258" i="3"/>
  <c r="M253" i="3"/>
  <c r="M251" i="3"/>
  <c r="M211" i="3"/>
  <c r="M209" i="3"/>
  <c r="M232" i="3"/>
  <c r="M230" i="3"/>
  <c r="M225" i="3"/>
  <c r="M223" i="3"/>
  <c r="M204" i="3"/>
  <c r="M202" i="3"/>
  <c r="M197" i="3"/>
  <c r="M195" i="3"/>
  <c r="M176" i="3"/>
  <c r="M174" i="3"/>
  <c r="M73" i="3"/>
  <c r="M71" i="3"/>
  <c r="M66" i="3"/>
  <c r="M148" i="3"/>
  <c r="M59" i="3"/>
  <c r="M52" i="3"/>
  <c r="M50" i="3"/>
  <c r="M117" i="3"/>
  <c r="M116" i="3"/>
  <c r="M97" i="3"/>
  <c r="M87" i="3"/>
  <c r="M43" i="3"/>
  <c r="M45" i="3"/>
  <c r="M219" i="3"/>
  <c r="M220" i="3"/>
  <c r="M221" i="3"/>
  <c r="M242" i="3"/>
  <c r="M338" i="3"/>
  <c r="M340" i="3"/>
  <c r="P53" i="1"/>
  <c r="B124" i="3"/>
  <c r="G131" i="3"/>
  <c r="M131" i="3" s="1"/>
  <c r="F239" i="3"/>
  <c r="H224" i="3"/>
  <c r="I224" i="3"/>
  <c r="I222" i="3" s="1"/>
  <c r="H392" i="3"/>
  <c r="H390" i="3" s="1"/>
  <c r="J151" i="1"/>
  <c r="J145" i="1" s="1"/>
  <c r="K153" i="1"/>
  <c r="L153" i="1"/>
  <c r="H399" i="3"/>
  <c r="H397" i="3" s="1"/>
  <c r="I94" i="3"/>
  <c r="G239" i="3"/>
  <c r="I85" i="1"/>
  <c r="I126" i="3"/>
  <c r="I127" i="3" s="1"/>
  <c r="H126" i="3"/>
  <c r="H127" i="3" s="1"/>
  <c r="I36" i="1"/>
  <c r="I278" i="3"/>
  <c r="G278" i="3"/>
  <c r="F280" i="3"/>
  <c r="F278" i="3" s="1"/>
  <c r="I139" i="1"/>
  <c r="I136" i="1" s="1"/>
  <c r="G114" i="3"/>
  <c r="G126" i="3"/>
  <c r="F114" i="3"/>
  <c r="I82" i="1"/>
  <c r="I99" i="1"/>
  <c r="I95" i="1" s="1"/>
  <c r="I30" i="1"/>
  <c r="I28" i="1" s="1"/>
  <c r="I43" i="1"/>
  <c r="I39" i="1" s="1"/>
  <c r="F399" i="3"/>
  <c r="F397" i="3" s="1"/>
  <c r="E399" i="3"/>
  <c r="F392" i="3"/>
  <c r="F390" i="3" s="1"/>
  <c r="E392" i="3"/>
  <c r="I148" i="1"/>
  <c r="I145" i="1" s="1"/>
  <c r="G392" i="3"/>
  <c r="G390" i="3" s="1"/>
  <c r="I90" i="1"/>
  <c r="I315" i="3"/>
  <c r="I313" i="3" s="1"/>
  <c r="H315" i="3"/>
  <c r="H313" i="3" s="1"/>
  <c r="G315" i="3"/>
  <c r="G313" i="3" s="1"/>
  <c r="F315" i="3"/>
  <c r="F313" i="3" s="1"/>
  <c r="E315" i="3"/>
  <c r="E313" i="3" s="1"/>
  <c r="I308" i="3"/>
  <c r="I306" i="3" s="1"/>
  <c r="H308" i="3"/>
  <c r="H306" i="3" s="1"/>
  <c r="G308" i="3"/>
  <c r="G306" i="3" s="1"/>
  <c r="F308" i="3"/>
  <c r="F306" i="3" s="1"/>
  <c r="E308" i="3"/>
  <c r="E306" i="3" s="1"/>
  <c r="F357" i="3"/>
  <c r="F355" i="3" s="1"/>
  <c r="E357" i="3"/>
  <c r="I350" i="3"/>
  <c r="I348" i="3" s="1"/>
  <c r="H350" i="3"/>
  <c r="H348" i="3" s="1"/>
  <c r="G350" i="3"/>
  <c r="G348" i="3" s="1"/>
  <c r="E350" i="3"/>
  <c r="I329" i="3"/>
  <c r="I327" i="3" s="1"/>
  <c r="H329" i="3"/>
  <c r="H327" i="3" s="1"/>
  <c r="G329" i="3"/>
  <c r="G327" i="3" s="1"/>
  <c r="E329" i="3"/>
  <c r="E327" i="3" s="1"/>
  <c r="I294" i="3"/>
  <c r="I292" i="3" s="1"/>
  <c r="H292" i="3"/>
  <c r="G294" i="3"/>
  <c r="G292" i="3" s="1"/>
  <c r="F294" i="3"/>
  <c r="F292" i="3" s="1"/>
  <c r="E294" i="3"/>
  <c r="I273" i="3"/>
  <c r="I271" i="3" s="1"/>
  <c r="H273" i="3"/>
  <c r="H271" i="3" s="1"/>
  <c r="G273" i="3"/>
  <c r="G271" i="3" s="1"/>
  <c r="F273" i="3"/>
  <c r="F271" i="3" s="1"/>
  <c r="E273" i="3"/>
  <c r="E271" i="3" s="1"/>
  <c r="I266" i="3"/>
  <c r="I264" i="3" s="1"/>
  <c r="H266" i="3"/>
  <c r="H264" i="3" s="1"/>
  <c r="G266" i="3"/>
  <c r="G264" i="3" s="1"/>
  <c r="F266" i="3"/>
  <c r="F264" i="3" s="1"/>
  <c r="E266" i="3"/>
  <c r="G301" i="3"/>
  <c r="G299" i="3" s="1"/>
  <c r="G259" i="3"/>
  <c r="G257" i="3" s="1"/>
  <c r="G210" i="3"/>
  <c r="G208" i="3" s="1"/>
  <c r="G231" i="3"/>
  <c r="G229" i="3" s="1"/>
  <c r="G224" i="3"/>
  <c r="G222" i="3" s="1"/>
  <c r="G203" i="3"/>
  <c r="G201" i="3" s="1"/>
  <c r="G72" i="3"/>
  <c r="G70" i="3" s="1"/>
  <c r="G65" i="3"/>
  <c r="G63" i="3" s="1"/>
  <c r="G147" i="3"/>
  <c r="G145" i="3" s="1"/>
  <c r="G58" i="3"/>
  <c r="G56" i="3" s="1"/>
  <c r="G51" i="3"/>
  <c r="G49" i="3" s="1"/>
  <c r="I301" i="3"/>
  <c r="I299" i="3" s="1"/>
  <c r="H301" i="3"/>
  <c r="H299" i="3" s="1"/>
  <c r="F301" i="3"/>
  <c r="F299" i="3" s="1"/>
  <c r="E301" i="3"/>
  <c r="E299" i="3" s="1"/>
  <c r="F250" i="3"/>
  <c r="E250" i="3"/>
  <c r="H259" i="3"/>
  <c r="H257" i="3" s="1"/>
  <c r="F259" i="3"/>
  <c r="F257" i="3" s="1"/>
  <c r="E259" i="3"/>
  <c r="I210" i="3"/>
  <c r="I208" i="3" s="1"/>
  <c r="H210" i="3"/>
  <c r="H208" i="3" s="1"/>
  <c r="E210" i="3"/>
  <c r="E208" i="3" s="1"/>
  <c r="I231" i="3"/>
  <c r="I229" i="3" s="1"/>
  <c r="H231" i="3"/>
  <c r="H229" i="3" s="1"/>
  <c r="E231" i="3"/>
  <c r="E229" i="3" s="1"/>
  <c r="F224" i="3"/>
  <c r="F222" i="3" s="1"/>
  <c r="E224" i="3"/>
  <c r="E222" i="3" s="1"/>
  <c r="I203" i="3"/>
  <c r="I201" i="3" s="1"/>
  <c r="H203" i="3"/>
  <c r="H201" i="3" s="1"/>
  <c r="F203" i="3"/>
  <c r="F201" i="3" s="1"/>
  <c r="E203" i="3"/>
  <c r="E201" i="3" s="1"/>
  <c r="I194" i="3"/>
  <c r="H194" i="3"/>
  <c r="E196" i="3"/>
  <c r="E194" i="3" s="1"/>
  <c r="I173" i="3"/>
  <c r="H173" i="3"/>
  <c r="I72" i="3"/>
  <c r="I70" i="3" s="1"/>
  <c r="H72" i="3"/>
  <c r="H70" i="3" s="1"/>
  <c r="F72" i="3"/>
  <c r="F70" i="3" s="1"/>
  <c r="E72" i="3"/>
  <c r="E70" i="3" s="1"/>
  <c r="I65" i="3"/>
  <c r="I63" i="3" s="1"/>
  <c r="H65" i="3"/>
  <c r="H63" i="3" s="1"/>
  <c r="E65" i="3"/>
  <c r="E63" i="3" s="1"/>
  <c r="I147" i="3"/>
  <c r="I145" i="3" s="1"/>
  <c r="H147" i="3"/>
  <c r="H145" i="3" s="1"/>
  <c r="F147" i="3"/>
  <c r="F145" i="3" s="1"/>
  <c r="E145" i="3"/>
  <c r="I58" i="3"/>
  <c r="I56" i="3" s="1"/>
  <c r="H58" i="3"/>
  <c r="H56" i="3" s="1"/>
  <c r="F58" i="3"/>
  <c r="F56" i="3" s="1"/>
  <c r="E58" i="3"/>
  <c r="I51" i="3"/>
  <c r="I49" i="3" s="1"/>
  <c r="H51" i="3"/>
  <c r="H49" i="3" s="1"/>
  <c r="F51" i="3"/>
  <c r="F49" i="3" s="1"/>
  <c r="E51" i="3"/>
  <c r="E49" i="3" s="1"/>
  <c r="I107" i="3"/>
  <c r="H107" i="3"/>
  <c r="E106" i="3"/>
  <c r="E96" i="3"/>
  <c r="E86" i="3"/>
  <c r="I44" i="3"/>
  <c r="I42" i="3" s="1"/>
  <c r="H44" i="3"/>
  <c r="H42" i="3" s="1"/>
  <c r="G44" i="3"/>
  <c r="G42" i="3" s="1"/>
  <c r="E44" i="3"/>
  <c r="I337" i="3"/>
  <c r="I338" i="3"/>
  <c r="I340" i="3"/>
  <c r="I335" i="3"/>
  <c r="H337" i="3"/>
  <c r="H338" i="3"/>
  <c r="H340" i="3"/>
  <c r="H335" i="3"/>
  <c r="F337" i="3"/>
  <c r="G337" i="3"/>
  <c r="F338" i="3"/>
  <c r="G338" i="3"/>
  <c r="F340" i="3"/>
  <c r="G340" i="3"/>
  <c r="E340" i="3"/>
  <c r="E337" i="3"/>
  <c r="F335" i="3"/>
  <c r="E335" i="3"/>
  <c r="I242" i="3"/>
  <c r="I19" i="3" s="1"/>
  <c r="H242" i="3"/>
  <c r="I239" i="3"/>
  <c r="I240" i="3"/>
  <c r="I15" i="3" s="1"/>
  <c r="H240" i="3"/>
  <c r="H239" i="3"/>
  <c r="I237" i="3"/>
  <c r="I12" i="3" s="1"/>
  <c r="H237" i="3"/>
  <c r="H12" i="3" s="1"/>
  <c r="F240" i="3"/>
  <c r="F15" i="3" s="1"/>
  <c r="G240" i="3"/>
  <c r="G15" i="3" s="1"/>
  <c r="F242" i="3"/>
  <c r="F19" i="3" s="1"/>
  <c r="G242" i="3"/>
  <c r="G19" i="3" s="1"/>
  <c r="E242" i="3"/>
  <c r="E19" i="3" s="1"/>
  <c r="E240" i="3"/>
  <c r="E239" i="3"/>
  <c r="E14" i="3" s="1"/>
  <c r="F237" i="3"/>
  <c r="F12" i="3" s="1"/>
  <c r="G237" i="3"/>
  <c r="E237" i="3"/>
  <c r="E12" i="3" s="1"/>
  <c r="I221" i="3"/>
  <c r="I220" i="3"/>
  <c r="H220" i="3"/>
  <c r="H221" i="3"/>
  <c r="I219" i="3"/>
  <c r="H219" i="3"/>
  <c r="F221" i="3"/>
  <c r="G221" i="3"/>
  <c r="F220" i="3"/>
  <c r="G220" i="3"/>
  <c r="E220" i="3"/>
  <c r="E221" i="3"/>
  <c r="F219" i="3"/>
  <c r="G219" i="3"/>
  <c r="E219" i="3"/>
  <c r="H218" i="3"/>
  <c r="I216" i="3"/>
  <c r="H216" i="3"/>
  <c r="F218" i="3"/>
  <c r="G218" i="3"/>
  <c r="E218" i="3"/>
  <c r="F216" i="3"/>
  <c r="G216" i="3"/>
  <c r="E216" i="3"/>
  <c r="M145" i="3" l="1"/>
  <c r="L146" i="1"/>
  <c r="P145" i="1" s="1"/>
  <c r="I357" i="3"/>
  <c r="I355" i="3" s="1"/>
  <c r="H357" i="3"/>
  <c r="H355" i="3" s="1"/>
  <c r="H19" i="3"/>
  <c r="H15" i="3"/>
  <c r="E15" i="3"/>
  <c r="I92" i="1"/>
  <c r="P92" i="1" s="1"/>
  <c r="F217" i="3"/>
  <c r="J124" i="1"/>
  <c r="P124" i="1" s="1"/>
  <c r="M287" i="3" s="1"/>
  <c r="M285" i="3" s="1"/>
  <c r="G287" i="3"/>
  <c r="G285" i="3" s="1"/>
  <c r="J100" i="1"/>
  <c r="G238" i="3" s="1"/>
  <c r="G236" i="3" s="1"/>
  <c r="I144" i="1"/>
  <c r="I142" i="1"/>
  <c r="F343" i="3"/>
  <c r="F341" i="3" s="1"/>
  <c r="I141" i="1"/>
  <c r="I135" i="1"/>
  <c r="F322" i="3"/>
  <c r="I105" i="1"/>
  <c r="P136" i="1"/>
  <c r="I100" i="1"/>
  <c r="I74" i="1"/>
  <c r="I71" i="1"/>
  <c r="J144" i="1"/>
  <c r="G343" i="3"/>
  <c r="I26" i="1"/>
  <c r="I40" i="1"/>
  <c r="J159" i="1"/>
  <c r="P159" i="1" s="1"/>
  <c r="J157" i="1"/>
  <c r="J142" i="1" s="1"/>
  <c r="J40" i="1"/>
  <c r="F196" i="3"/>
  <c r="I72" i="1"/>
  <c r="E257" i="3"/>
  <c r="M257" i="3" s="1"/>
  <c r="M259" i="3"/>
  <c r="G166" i="3"/>
  <c r="G196" i="3"/>
  <c r="G194" i="3" s="1"/>
  <c r="F44" i="3"/>
  <c r="F42" i="3" s="1"/>
  <c r="P29" i="1"/>
  <c r="F231" i="3"/>
  <c r="F229" i="3" s="1"/>
  <c r="M229" i="3" s="1"/>
  <c r="P162" i="1"/>
  <c r="E385" i="3"/>
  <c r="H383" i="3"/>
  <c r="F383" i="3"/>
  <c r="P147" i="1"/>
  <c r="P150" i="1"/>
  <c r="I343" i="3"/>
  <c r="I341" i="3" s="1"/>
  <c r="J104" i="1"/>
  <c r="P95" i="1"/>
  <c r="I70" i="1"/>
  <c r="P138" i="1"/>
  <c r="P74" i="1"/>
  <c r="I69" i="1"/>
  <c r="P89" i="1"/>
  <c r="P81" i="1"/>
  <c r="P42" i="1"/>
  <c r="G86" i="3"/>
  <c r="G84" i="3" s="1"/>
  <c r="P35" i="1"/>
  <c r="P85" i="1"/>
  <c r="F376" i="3"/>
  <c r="H378" i="3"/>
  <c r="H376" i="3" s="1"/>
  <c r="H94" i="3"/>
  <c r="G335" i="3"/>
  <c r="G12" i="3" s="1"/>
  <c r="G377" i="3"/>
  <c r="I104" i="3"/>
  <c r="I80" i="3"/>
  <c r="I24" i="3" s="1"/>
  <c r="H104" i="3"/>
  <c r="H80" i="3"/>
  <c r="H24" i="3" s="1"/>
  <c r="G104" i="3"/>
  <c r="E292" i="3"/>
  <c r="M292" i="3" s="1"/>
  <c r="M294" i="3"/>
  <c r="G399" i="3"/>
  <c r="G397" i="3" s="1"/>
  <c r="M299" i="3"/>
  <c r="E390" i="3"/>
  <c r="E278" i="3"/>
  <c r="M280" i="3"/>
  <c r="M216" i="3"/>
  <c r="E348" i="3"/>
  <c r="E355" i="3"/>
  <c r="M126" i="3"/>
  <c r="E397" i="3"/>
  <c r="E42" i="3"/>
  <c r="E104" i="3"/>
  <c r="E84" i="3"/>
  <c r="E94" i="3"/>
  <c r="M384" i="3"/>
  <c r="M377" i="3" s="1"/>
  <c r="E238" i="3"/>
  <c r="F107" i="3"/>
  <c r="F210" i="3"/>
  <c r="F208" i="3" s="1"/>
  <c r="M208" i="3" s="1"/>
  <c r="F94" i="3"/>
  <c r="G357" i="3"/>
  <c r="G355" i="3" s="1"/>
  <c r="M335" i="3"/>
  <c r="M218" i="3"/>
  <c r="M237" i="3"/>
  <c r="M239" i="3"/>
  <c r="M337" i="3"/>
  <c r="F173" i="3"/>
  <c r="M306" i="3"/>
  <c r="F350" i="3"/>
  <c r="F348" i="3" s="1"/>
  <c r="H86" i="3"/>
  <c r="H84" i="3" s="1"/>
  <c r="I86" i="3"/>
  <c r="I84" i="3" s="1"/>
  <c r="M203" i="3"/>
  <c r="F329" i="3"/>
  <c r="F327" i="3" s="1"/>
  <c r="M327" i="3" s="1"/>
  <c r="I217" i="3"/>
  <c r="I215" i="3" s="1"/>
  <c r="M147" i="3"/>
  <c r="M266" i="3"/>
  <c r="H250" i="3"/>
  <c r="M250" i="3" s="1"/>
  <c r="M58" i="3"/>
  <c r="G215" i="3"/>
  <c r="H222" i="3"/>
  <c r="M222" i="3" s="1"/>
  <c r="M224" i="3"/>
  <c r="E215" i="3"/>
  <c r="H217" i="3"/>
  <c r="H215" i="3" s="1"/>
  <c r="F86" i="3"/>
  <c r="F84" i="3" s="1"/>
  <c r="E264" i="3"/>
  <c r="M264" i="3" s="1"/>
  <c r="E56" i="3"/>
  <c r="M56" i="3" s="1"/>
  <c r="M72" i="3"/>
  <c r="M51" i="3"/>
  <c r="F65" i="3"/>
  <c r="F63" i="3" s="1"/>
  <c r="M63" i="3" s="1"/>
  <c r="G94" i="3"/>
  <c r="I238" i="3"/>
  <c r="I236" i="3" s="1"/>
  <c r="M301" i="3"/>
  <c r="M273" i="3"/>
  <c r="M114" i="3"/>
  <c r="M162" i="3"/>
  <c r="I392" i="3"/>
  <c r="I390" i="3" s="1"/>
  <c r="M201" i="3"/>
  <c r="M70" i="3"/>
  <c r="M49" i="3"/>
  <c r="I399" i="3"/>
  <c r="P99" i="1"/>
  <c r="P96" i="1"/>
  <c r="H238" i="3"/>
  <c r="H236" i="3" s="1"/>
  <c r="M313" i="3"/>
  <c r="G127" i="3"/>
  <c r="G80" i="3" s="1"/>
  <c r="G24" i="3" s="1"/>
  <c r="I124" i="3"/>
  <c r="H278" i="3"/>
  <c r="H124" i="3"/>
  <c r="M271" i="3"/>
  <c r="J22" i="1" l="1"/>
  <c r="G23" i="3" s="1"/>
  <c r="J23" i="1"/>
  <c r="I25" i="1"/>
  <c r="I22" i="1"/>
  <c r="I23" i="1"/>
  <c r="J156" i="1"/>
  <c r="P156" i="1" s="1"/>
  <c r="G378" i="3"/>
  <c r="P157" i="1"/>
  <c r="F79" i="3"/>
  <c r="P40" i="1"/>
  <c r="J141" i="1"/>
  <c r="F168" i="3"/>
  <c r="F166" i="3" s="1"/>
  <c r="I67" i="1"/>
  <c r="P67" i="1" s="1"/>
  <c r="I66" i="1"/>
  <c r="P72" i="1"/>
  <c r="G79" i="3"/>
  <c r="G77" i="3" s="1"/>
  <c r="F30" i="3"/>
  <c r="P26" i="1"/>
  <c r="E236" i="3"/>
  <c r="M42" i="3"/>
  <c r="M231" i="3"/>
  <c r="M44" i="3"/>
  <c r="F37" i="3"/>
  <c r="P39" i="1"/>
  <c r="P69" i="1"/>
  <c r="I20" i="1"/>
  <c r="P20" i="1" s="1"/>
  <c r="P104" i="1"/>
  <c r="J16" i="1"/>
  <c r="P70" i="1"/>
  <c r="I16" i="1"/>
  <c r="I385" i="3"/>
  <c r="I383" i="3" s="1"/>
  <c r="G385" i="3"/>
  <c r="G383" i="3" s="1"/>
  <c r="K13" i="1"/>
  <c r="K12" i="1" s="1"/>
  <c r="G341" i="3"/>
  <c r="E336" i="3"/>
  <c r="E334" i="3" s="1"/>
  <c r="H13" i="1"/>
  <c r="H12" i="1" s="1"/>
  <c r="P135" i="1"/>
  <c r="M322" i="3" s="1"/>
  <c r="M320" i="3" s="1"/>
  <c r="M572" i="3"/>
  <c r="P15" i="1"/>
  <c r="H79" i="3"/>
  <c r="H23" i="3"/>
  <c r="F238" i="3"/>
  <c r="F236" i="3" s="1"/>
  <c r="F320" i="3"/>
  <c r="K141" i="1"/>
  <c r="H336" i="3" s="1"/>
  <c r="H343" i="3"/>
  <c r="H341" i="3" s="1"/>
  <c r="H14" i="3"/>
  <c r="I77" i="3"/>
  <c r="I14" i="3"/>
  <c r="G14" i="3"/>
  <c r="F80" i="3"/>
  <c r="F24" i="3" s="1"/>
  <c r="M24" i="3" s="1"/>
  <c r="M19" i="3"/>
  <c r="M399" i="3"/>
  <c r="P71" i="1"/>
  <c r="M168" i="3" s="1"/>
  <c r="M166" i="3" s="1"/>
  <c r="F336" i="3"/>
  <c r="F334" i="3" s="1"/>
  <c r="P144" i="1"/>
  <c r="M343" i="3" s="1"/>
  <c r="M12" i="3"/>
  <c r="E23" i="3"/>
  <c r="E383" i="3"/>
  <c r="M355" i="3"/>
  <c r="M348" i="3"/>
  <c r="M392" i="3"/>
  <c r="M357" i="3"/>
  <c r="M350" i="3"/>
  <c r="M278" i="3"/>
  <c r="M390" i="3"/>
  <c r="G124" i="3"/>
  <c r="M124" i="3" s="1"/>
  <c r="M127" i="3"/>
  <c r="M94" i="3"/>
  <c r="M84" i="3"/>
  <c r="M106" i="3"/>
  <c r="F104" i="3"/>
  <c r="M104" i="3" s="1"/>
  <c r="M96" i="3"/>
  <c r="M86" i="3"/>
  <c r="M107" i="3"/>
  <c r="M210" i="3"/>
  <c r="M329" i="3"/>
  <c r="M65" i="3"/>
  <c r="I397" i="3"/>
  <c r="M397" i="3" s="1"/>
  <c r="F194" i="3"/>
  <c r="M194" i="3" s="1"/>
  <c r="M196" i="3"/>
  <c r="P23" i="1" l="1"/>
  <c r="M236" i="3"/>
  <c r="E13" i="3"/>
  <c r="E11" i="3" s="1"/>
  <c r="E376" i="3"/>
  <c r="H77" i="3"/>
  <c r="P28" i="1"/>
  <c r="H13" i="3"/>
  <c r="H11" i="3" s="1"/>
  <c r="L143" i="1"/>
  <c r="F35" i="3"/>
  <c r="M35" i="3" s="1"/>
  <c r="M37" i="3"/>
  <c r="F14" i="3"/>
  <c r="M14" i="3" s="1"/>
  <c r="J13" i="1"/>
  <c r="J12" i="1" s="1"/>
  <c r="F77" i="3"/>
  <c r="P105" i="1"/>
  <c r="I21" i="1"/>
  <c r="P21" i="1" s="1"/>
  <c r="P16" i="1"/>
  <c r="M341" i="3"/>
  <c r="M516" i="3"/>
  <c r="P100" i="1"/>
  <c r="M238" i="3"/>
  <c r="P66" i="1"/>
  <c r="F161" i="3"/>
  <c r="G336" i="3"/>
  <c r="G334" i="3" s="1"/>
  <c r="G376" i="3"/>
  <c r="H334" i="3"/>
  <c r="E21" i="3"/>
  <c r="M80" i="3"/>
  <c r="I23" i="3"/>
  <c r="M383" i="3"/>
  <c r="M385" i="3"/>
  <c r="F215" i="3"/>
  <c r="M215" i="3" s="1"/>
  <c r="M217" i="3"/>
  <c r="H21" i="3"/>
  <c r="L13" i="1" l="1"/>
  <c r="L12" i="1" s="1"/>
  <c r="P142" i="1"/>
  <c r="F28" i="3"/>
  <c r="M28" i="3" s="1"/>
  <c r="I13" i="1"/>
  <c r="M77" i="3"/>
  <c r="M79" i="3"/>
  <c r="P25" i="1"/>
  <c r="P22" i="1"/>
  <c r="I378" i="3"/>
  <c r="I376" i="3" s="1"/>
  <c r="M376" i="3" s="1"/>
  <c r="G13" i="3"/>
  <c r="G11" i="3" s="1"/>
  <c r="L141" i="1"/>
  <c r="P141" i="1" s="1"/>
  <c r="I21" i="3"/>
  <c r="M495" i="3"/>
  <c r="F159" i="3"/>
  <c r="M161" i="3"/>
  <c r="M159" i="3" s="1"/>
  <c r="G21" i="3"/>
  <c r="F23" i="3" l="1"/>
  <c r="F21" i="3" s="1"/>
  <c r="M30" i="3"/>
  <c r="M378" i="3"/>
  <c r="I336" i="3"/>
  <c r="I13" i="3" s="1"/>
  <c r="I11" i="3" s="1"/>
  <c r="P13" i="1"/>
  <c r="I12" i="1"/>
  <c r="M23" i="3" l="1"/>
  <c r="F13" i="3"/>
  <c r="F11" i="3" s="1"/>
  <c r="M336" i="3"/>
  <c r="I334" i="3"/>
  <c r="M334" i="3" s="1"/>
  <c r="M21" i="3"/>
  <c r="P18" i="1"/>
  <c r="P12" i="1"/>
  <c r="M677" i="3" l="1"/>
  <c r="M11" i="3"/>
  <c r="M13" i="3" l="1"/>
  <c r="M509" i="3" l="1"/>
  <c r="M523" i="3"/>
  <c r="P75" i="1"/>
  <c r="E175" i="3"/>
  <c r="E173" i="3" s="1"/>
  <c r="M173" i="3" s="1"/>
  <c r="M175" i="3" l="1"/>
</calcChain>
</file>

<file path=xl/sharedStrings.xml><?xml version="1.0" encoding="utf-8"?>
<sst xmlns="http://schemas.openxmlformats.org/spreadsheetml/2006/main" count="2032" uniqueCount="394">
  <si>
    <t>2.1.</t>
  </si>
  <si>
    <t>2.2.</t>
  </si>
  <si>
    <t>4.1.</t>
  </si>
  <si>
    <t>4.2.</t>
  </si>
  <si>
    <t>№</t>
  </si>
  <si>
    <t>п/п</t>
  </si>
  <si>
    <t>Ответственный</t>
  </si>
  <si>
    <t>исполнитель,</t>
  </si>
  <si>
    <t>соисполнители</t>
  </si>
  <si>
    <t>Код бюджетной</t>
  </si>
  <si>
    <t>Расходы (тыс. руб.), годы</t>
  </si>
  <si>
    <t>ГРБС</t>
  </si>
  <si>
    <t>Рз</t>
  </si>
  <si>
    <t>Пр</t>
  </si>
  <si>
    <t>ЦСР</t>
  </si>
  <si>
    <t>ВР</t>
  </si>
  <si>
    <t>0113</t>
  </si>
  <si>
    <t>012</t>
  </si>
  <si>
    <t>0412</t>
  </si>
  <si>
    <t>0410</t>
  </si>
  <si>
    <t>департамент информационной политики Приморского края</t>
  </si>
  <si>
    <t>департамент образования и науки Приморского края</t>
  </si>
  <si>
    <t>департамент информатизации и телекоммуникаций Приморского края</t>
  </si>
  <si>
    <t>1.</t>
  </si>
  <si>
    <t>2.</t>
  </si>
  <si>
    <t>3.</t>
  </si>
  <si>
    <t>4.</t>
  </si>
  <si>
    <t>всего:</t>
  </si>
  <si>
    <t>244</t>
  </si>
  <si>
    <t>771</t>
  </si>
  <si>
    <t>1204</t>
  </si>
  <si>
    <t>759</t>
  </si>
  <si>
    <t>0702</t>
  </si>
  <si>
    <t>779</t>
  </si>
  <si>
    <t>5221020</t>
  </si>
  <si>
    <t>755</t>
  </si>
  <si>
    <t>760</t>
  </si>
  <si>
    <t>1006</t>
  </si>
  <si>
    <t>784</t>
  </si>
  <si>
    <t>департамент информатизации и телекоммуникации Приморского края</t>
  </si>
  <si>
    <t>064</t>
  </si>
  <si>
    <t>0029900</t>
  </si>
  <si>
    <t>1117059</t>
  </si>
  <si>
    <t>621</t>
  </si>
  <si>
    <t>1117060</t>
  </si>
  <si>
    <t>1117061</t>
  </si>
  <si>
    <t>622</t>
  </si>
  <si>
    <t>Предоставление субсидий из краевого бюджета бюджетам муниципальных образований Приморского края на  мероприятия по созданию многофункциональных центров предоставления государственных и муниципальных услуг</t>
  </si>
  <si>
    <t>5221013</t>
  </si>
  <si>
    <t>1119218</t>
  </si>
  <si>
    <t>010</t>
  </si>
  <si>
    <t>1112143</t>
  </si>
  <si>
    <t>Формирование на территории Приморского края  единого информационного пространства  органов исполнительной власти Приморского края, территориальных органов федеральных органов исполнительной власти и органов местного самоуправления Приморского края. Подключение краевых государственных учреждений, подведомственных органам исполнительной власти Приморского края, к системе межведомственного электронного взаимодействия</t>
  </si>
  <si>
    <t>1112058</t>
  </si>
  <si>
    <t>Создание Ситуационного центра Губернатора Приморского края</t>
  </si>
  <si>
    <t>1112189</t>
  </si>
  <si>
    <t>Обеспечение доступа к сети Интернет органов исполнительной власти Приморского края</t>
  </si>
  <si>
    <t>1112059</t>
  </si>
  <si>
    <t>Развитие регионального сегмента единой  системы межведомственного  электронного документооборота, в том числе создание среды электронного взаимодействия государственных органов Приморского края</t>
  </si>
  <si>
    <t>Модернизация прикладных информационных систем поддержки выполнения исполнительными органами государственной власти Приморского края и органами местного самоуправления Приморского края основных функций</t>
  </si>
  <si>
    <t>Развитие сервисов информационной системы планирования и мониторинга социально-экономического развития Приморского края</t>
  </si>
  <si>
    <t>Создание инфраструктуры для обеспечения внедрения универсальной электронной карты</t>
  </si>
  <si>
    <t>Обеспечение деятельности краевого государственного бюджетного учреждения «Центр занятости населения города Владивостока» в части использования сервисов информационной системы и организации пунктов приема заявлений по выдаче, выпуску и обслуживанию универсальных электронных карт в Приморском крае</t>
  </si>
  <si>
    <t>департамент труда и социального развития Приморского края</t>
  </si>
  <si>
    <t>0401</t>
  </si>
  <si>
    <t>612</t>
  </si>
  <si>
    <t>департамент земельных и имущественных отношений Приморского края</t>
  </si>
  <si>
    <t>Формирование электронной геоинформационной карты системы образования Приморского края как части инфраструктуры пространственных данных</t>
  </si>
  <si>
    <t>Реализация социального информационного общества</t>
  </si>
  <si>
    <t>Содержание аппарата управления департамента информатизации и телекоммуникаций Приморского края</t>
  </si>
  <si>
    <t>0020400</t>
  </si>
  <si>
    <t>Исполнение решений, принятых судебными органами</t>
  </si>
  <si>
    <t>0920306</t>
  </si>
  <si>
    <t>Создание и поддержка Интернет-портала в сети Интернет по организации отдыха, оздоровления, занятости детей и подростков для жителей Приморского края</t>
  </si>
  <si>
    <t>Обеспечение беспрепятственного доступа инвалидов к информации</t>
  </si>
  <si>
    <t>Содержание аппарата управления департамента информационной политики Приморского края</t>
  </si>
  <si>
    <t>1201</t>
  </si>
  <si>
    <t>1202</t>
  </si>
  <si>
    <t>611</t>
  </si>
  <si>
    <t>Предоставление субсидии на укрепление материально - технической базы краевому государственному бюджетному учреждению «Общественное телевидение Приморья»</t>
  </si>
  <si>
    <t>Предоставление субсидии на укрепление материально-технической базы краевому государственному автономному учреждению «Редакция газеты «Приморская газета: официальное издание органов государственной власти Приморского края»</t>
  </si>
  <si>
    <t>Мероприятия по противодействию распространению наркотиков</t>
  </si>
  <si>
    <t>Мероприятия по профилактике экстремизма и терроризма</t>
  </si>
  <si>
    <t>Мероприятия по допризывной подготовке молодежи на территории Приморского края</t>
  </si>
  <si>
    <t>Проведение краевого творческого конкурса среди средств массовой информации Приморского края на лучший материал, освещающий тему допризывной подготовки молодежи к службе в армии</t>
  </si>
  <si>
    <t>Изготовление и размещение щитов наружной рекламы на тему военно-патриотического воспитания молодежи</t>
  </si>
  <si>
    <t>Изготовление полиграфической продукции с изображением государственных символов Российской Федерации. Изготовление информационных стендов военно-патриотической направленности</t>
  </si>
  <si>
    <t>Мероприятия по профилактике правонарушений и борьбе с преступностью на территории Приморского края</t>
  </si>
  <si>
    <t>Обеспечение жителей Приморского края информацией о мероприятиях, проводимых органами исполнительной власти Приморского края и Администрацией Приморского края в честь праздничных дат Российской Федерации и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t>
  </si>
  <si>
    <t>0920006</t>
  </si>
  <si>
    <t>ИНФОРМАЦИЯ</t>
  </si>
  <si>
    <t>Источники ресурсного обеспечения</t>
  </si>
  <si>
    <t>Оценка расходов (тыс.руб.), годы</t>
  </si>
  <si>
    <t>федеральный бюджет</t>
  </si>
  <si>
    <t>краевой бюджет</t>
  </si>
  <si>
    <t>бюджет муниципальных образований</t>
  </si>
  <si>
    <t>государственные внебюджетные фонды Российской Федерации</t>
  </si>
  <si>
    <t xml:space="preserve">территориальные государственные внебюджетные фонды </t>
  </si>
  <si>
    <t>иные внебюджетные источники</t>
  </si>
  <si>
    <t>Развитие систем информационной безопасности  телекоммуникационной  инфраструктуры электронного правительства Приморского края, защиты персональных данных</t>
  </si>
  <si>
    <t>Модернизация  прикладных информационных систем поддержки выполнения исполнительными органами государственной власти Приморского края и органами местного самоуправления Приморского края основных функций</t>
  </si>
  <si>
    <t>X</t>
  </si>
  <si>
    <t>1147059</t>
  </si>
  <si>
    <t>1147061</t>
  </si>
  <si>
    <t>3.1.</t>
  </si>
  <si>
    <t>3.2.</t>
  </si>
  <si>
    <t>Создание целевой системы мониторинга и управления ключевыми отраслями экономики и территориями Приморского края</t>
  </si>
  <si>
    <t xml:space="preserve">Предоставление из краевого бюджета бюджетам муниципальных образований Приморского края иных межбюджетных трансфертов, источником финансового обеспечения которых являются иные межбюджетные трансферты из федерального бюджета на завершение работ по созданию сети многофункциональных центров предоставления государственных и муниципальных услуг </t>
  </si>
  <si>
    <t>Предоставление субсидий из краевого бюджета бюджетам муниципальных образований Приморского края на  содержание многофункциональных центров предоставления государственных и муниципальных услуг</t>
  </si>
  <si>
    <t>Обеспечение функционирования единого краевого электронного образовательного интернет-портала "Электронная школа Приморья"</t>
  </si>
  <si>
    <t>0709</t>
  </si>
  <si>
    <t>1119207</t>
  </si>
  <si>
    <t>1142905</t>
  </si>
  <si>
    <t>831</t>
  </si>
  <si>
    <t>1112247</t>
  </si>
  <si>
    <t xml:space="preserve">Развитие информационно-технической  и телекоммуникационной  инфраструктуры краевых государственных образовательных организаций </t>
  </si>
  <si>
    <t>755 779</t>
  </si>
  <si>
    <t>755   760</t>
  </si>
  <si>
    <t>1197059</t>
  </si>
  <si>
    <t>111</t>
  </si>
  <si>
    <t>112</t>
  </si>
  <si>
    <t>851</t>
  </si>
  <si>
    <t>Развитие информационно-технической  и телекоммуникационной  инфраструктуры краевых государственных образовательных организаций</t>
  </si>
  <si>
    <t>1.1.</t>
  </si>
  <si>
    <t>1.2.</t>
  </si>
  <si>
    <t>1.2.1.</t>
  </si>
  <si>
    <t>1.2.2.</t>
  </si>
  <si>
    <t>1.2.3.</t>
  </si>
  <si>
    <t>1.2.4.</t>
  </si>
  <si>
    <t>1.2.5.</t>
  </si>
  <si>
    <t>1.2.6.</t>
  </si>
  <si>
    <t>1.3.</t>
  </si>
  <si>
    <t>3.3.</t>
  </si>
  <si>
    <t>5.1.</t>
  </si>
  <si>
    <t>5.2.</t>
  </si>
  <si>
    <t>5.3.</t>
  </si>
  <si>
    <t>Предоставление субсидии на осуществление мероприятий по ликвидации краевого государственного автономного учреждения Приморского края «Приморский телевизионный центр»</t>
  </si>
  <si>
    <t>Выполнение функций краевым государственным казенным учреждением Приморского края «Приморская реклама и информация» в сфере размещения и эксплуатации рекламных конструкций на территории Владивостокского городского округа, Артемовского городского округа, Шкотовского муниципального района и Надеждинского муниципального района</t>
  </si>
  <si>
    <t xml:space="preserve">ИНФОРМАЦИЯ  </t>
  </si>
  <si>
    <t>Подпрограмма № 1 «Развитие телекоммуникационной инфраструктуры органов государственной власти  Приморского края и органов местного самоуправления»</t>
  </si>
  <si>
    <t>Подпрограмма № 3 «Использование информационно-коммуникационных технологий в социально ориентированных областях»</t>
  </si>
  <si>
    <t>Подпрограмма № 4 «Развитие отрасли информационных технологий и телекоммуникаций»</t>
  </si>
  <si>
    <t xml:space="preserve">Предоставление субсидий краевым государственным автономным учреждениям на финансовое обеспечение выполнения государственного задания </t>
  </si>
  <si>
    <t>Предоставление субсидии краевым государственным автономным учреждениям на иные цели, не связанные с финансовым обеспечением выполнения государственного задания</t>
  </si>
  <si>
    <t>Предоставление субсидии на финансовое обеспечение  выполнения государственного задания краевому государственному бюджетному учреждению «Общественное телевидение Приморья»</t>
  </si>
  <si>
    <t>Предоставление субсидии на финансовое обеспечение  выполнения государственного задания  краевому государственному автономному учреждению Приморского края «Приморский телевизионный центр»</t>
  </si>
  <si>
    <t>Предоставление субсидии на финансовое обеспечение выполнения государственного задания краевому государственному автономному учреждению «Редакция газеты «Приморская газета: официальное издание органов государственной власти Приморского края»</t>
  </si>
  <si>
    <t>810</t>
  </si>
  <si>
    <t>1196087</t>
  </si>
  <si>
    <t>Развитие программно-технологической инфраструктуры пространственных данных</t>
  </si>
  <si>
    <t>Создание и развитие государственной информационной системы учета сдачи леса на пунктах приемки древесины</t>
  </si>
  <si>
    <t>департамент лесного хозяйства Приморского края</t>
  </si>
  <si>
    <t>Создание системы космического мониторинга выявления нарушений в сфере лесного хозяйства</t>
  </si>
  <si>
    <t>Развитие государственной информационной системы Приморского края «Управление лесным фондом Приморского края»</t>
  </si>
  <si>
    <t>департамент сельского хозяйства и продовольствия Приморского края</t>
  </si>
  <si>
    <t>Проведение инвентаризации и мониторинга земель сельскохозяйственного и другого назначения, агрономического учета, организация оперативного учета полевых работ с применением систем спутниковой навигации ГЛОНАСС/GPS</t>
  </si>
  <si>
    <t>Создание региональной информационной системы обеспечения градостроительной деятельности (ИСОГД)</t>
  </si>
  <si>
    <t>Создание региональной информационной системы "Объекты культурного наследия"</t>
  </si>
  <si>
    <t xml:space="preserve">департамент информатизации телекоммуникаций Приморского края    </t>
  </si>
  <si>
    <t xml:space="preserve">департамент информатизации телекоммуникаций Приморского края     </t>
  </si>
  <si>
    <t xml:space="preserve">всего          </t>
  </si>
  <si>
    <t xml:space="preserve">краевой бюджет </t>
  </si>
  <si>
    <t>Проведение инвентаризации и мониторинга земель сельскохозяйственного и другого назначения, агрономического учета, организация оперативного учета полевых работ с применением систем спутниковой навигации ГЛОНАСС/GPS</t>
  </si>
  <si>
    <t xml:space="preserve">федеральный бюджет </t>
  </si>
  <si>
    <t>6.</t>
  </si>
  <si>
    <t>6.1.</t>
  </si>
  <si>
    <t>6.2.</t>
  </si>
  <si>
    <t>6.3.</t>
  </si>
  <si>
    <t>6.4.</t>
  </si>
  <si>
    <t xml:space="preserve">департамент сельского хозяйства и продовольствия Приморского края     </t>
  </si>
  <si>
    <t>Оказание услуг по развитию функциональных возможностей геоаналитической  системы «Агроуправление» с использованием данных дистанционного зондирования земли</t>
  </si>
  <si>
    <t>0407</t>
  </si>
  <si>
    <t>1150222810</t>
  </si>
  <si>
    <t>1150222800</t>
  </si>
  <si>
    <t>1150322820</t>
  </si>
  <si>
    <t>1150222790</t>
  </si>
  <si>
    <t>1150222780</t>
  </si>
  <si>
    <t>1150222770</t>
  </si>
  <si>
    <t>1150222760</t>
  </si>
  <si>
    <t>1150121450</t>
  </si>
  <si>
    <t>0405</t>
  </si>
  <si>
    <t>департамент экономики и развития предпринимательства Приморского края</t>
  </si>
  <si>
    <t>2.1.1.</t>
  </si>
  <si>
    <t>2.1.2.</t>
  </si>
  <si>
    <t xml:space="preserve">Исполнение по судебным актам </t>
  </si>
  <si>
    <t>1110270590</t>
  </si>
  <si>
    <t>1110270600</t>
  </si>
  <si>
    <t>1110292180</t>
  </si>
  <si>
    <t>1110292070</t>
  </si>
  <si>
    <t>1140129050</t>
  </si>
  <si>
    <t>1140270590</t>
  </si>
  <si>
    <t>1140270610</t>
  </si>
  <si>
    <t>1160470590</t>
  </si>
  <si>
    <t>1.1.1.</t>
  </si>
  <si>
    <t>Реализация мероприятий по использованию информационно-коммуникационных технологий в целях совершенствования системы государственного и муниципального управления, предоставления услуг, создания и развития информационно-аналитических, учетных и функциональных систем Приморского края</t>
  </si>
  <si>
    <t>1.1.1.1.</t>
  </si>
  <si>
    <t>1.1.1.2.</t>
  </si>
  <si>
    <t>1.1.1.3.</t>
  </si>
  <si>
    <t>1.1.2.</t>
  </si>
  <si>
    <t>1.1.3.</t>
  </si>
  <si>
    <t>2.1.1.1.</t>
  </si>
  <si>
    <t>2.1.1.2.</t>
  </si>
  <si>
    <t>2.1.3.</t>
  </si>
  <si>
    <t>2.1.4.</t>
  </si>
  <si>
    <t>2.2.1.</t>
  </si>
  <si>
    <t>2.2.2.</t>
  </si>
  <si>
    <t>3.1.1.</t>
  </si>
  <si>
    <t>3.1.2.</t>
  </si>
  <si>
    <t>3.1.3.</t>
  </si>
  <si>
    <t>3.1.4.</t>
  </si>
  <si>
    <t>3.1.5.</t>
  </si>
  <si>
    <t>3.2.1.</t>
  </si>
  <si>
    <t>3.2.2.</t>
  </si>
  <si>
    <t>3.3.1.</t>
  </si>
  <si>
    <t>4.1.1.</t>
  </si>
  <si>
    <t>4.1.2.</t>
  </si>
  <si>
    <t>4.2.1.</t>
  </si>
  <si>
    <t>4.2.1.1.</t>
  </si>
  <si>
    <t>4.2.1.2.</t>
  </si>
  <si>
    <t>5.1.1.</t>
  </si>
  <si>
    <t>5.2.1.</t>
  </si>
  <si>
    <t>5.2.2.</t>
  </si>
  <si>
    <t>5.2.3.</t>
  </si>
  <si>
    <t>5.2.4.</t>
  </si>
  <si>
    <t>5.2.5.</t>
  </si>
  <si>
    <t>5.2.6.</t>
  </si>
  <si>
    <t>5.2.7.</t>
  </si>
  <si>
    <t>Пополнение и обновление цифрового картографического материала, включая данные дистанционного зондирования Земли сверхвысокого и высокого линейного разрешения на территории Приморского края</t>
  </si>
  <si>
    <t>5.3.1.</t>
  </si>
  <si>
    <t>6.1.1.</t>
  </si>
  <si>
    <t>6.2.1.</t>
  </si>
  <si>
    <t>6.2.1.1.</t>
  </si>
  <si>
    <t>6.2.1.2.</t>
  </si>
  <si>
    <t>6.3.1.</t>
  </si>
  <si>
    <t>6.3.1.1.</t>
  </si>
  <si>
    <t>6.3.1.2.</t>
  </si>
  <si>
    <t>6.3.2.</t>
  </si>
  <si>
    <t>6.3.3.</t>
  </si>
  <si>
    <t>6.3.3.1.</t>
  </si>
  <si>
    <t>6.3.3.2.</t>
  </si>
  <si>
    <t>6.3.4.</t>
  </si>
  <si>
    <t>6.3.5.</t>
  </si>
  <si>
    <t>6.4.1.</t>
  </si>
  <si>
    <t>1122145</t>
  </si>
  <si>
    <t>6.4.2.</t>
  </si>
  <si>
    <t>Исполнение решений, принятых судебными органами в сфере размещения и эксплуатации рекламных конструкций на территории Владивостокского городского округа, Артемовского городского округа, Шкотовского муниципального района, Надеждинского муниципального района</t>
  </si>
  <si>
    <t>119</t>
  </si>
  <si>
    <t>Информирование населения о реализации государственных программ Приморского края, социально значимых проектов и мероприятий в Приморском крае в электронных средствах массовой информации</t>
  </si>
  <si>
    <t>Информирование населения о реализации государственных программ Приморского края, социально значимых проектов и мероприятий в Приморском крае в печатных средствах массовой информации</t>
  </si>
  <si>
    <t>6.2.2.</t>
  </si>
  <si>
    <t>Информирование населения о реализации государственных программ Приморского края, социально значимых проектов и мероприятий в Приморском крае в средствах массовой информации</t>
  </si>
  <si>
    <t>Информирование населения о реализации государственных программ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 краевым государственным бюджетным учреждением «Общественное телевидение Приморья»</t>
  </si>
  <si>
    <t>1160370590</t>
  </si>
  <si>
    <t>Информирование населения о реализации государственных программ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 публикация нормативно-правовых актов краевым государственным автономным учреждением «Редакция газеты «Приморская газета: официальное издание органов государственной власти Приморского края»</t>
  </si>
  <si>
    <t>Предоставление субсидий из бюджета Приморского края организациям, осуществляющим деятельность в сфере производства и распространения социально значимой продукции средств массовой информации, печатной продукции, а также проведение социально значимых мероприятий в области массовых коммуникаций и информационного обеспечения населения Приморского края</t>
  </si>
  <si>
    <t>1150222750</t>
  </si>
  <si>
    <t>763</t>
  </si>
  <si>
    <t>758</t>
  </si>
  <si>
    <t>1110270610</t>
  </si>
  <si>
    <t>Проведение дальневосточного форума информационно-коммуникативных технологий ДАЛЬИНФОКОМ</t>
  </si>
  <si>
    <t>4.1.3.</t>
  </si>
  <si>
    <t>1140122970</t>
  </si>
  <si>
    <t>3.2.3.</t>
  </si>
  <si>
    <t>3.2.4.</t>
  </si>
  <si>
    <t>5.</t>
  </si>
  <si>
    <t>Подпрограмма № 6 «Информирование населения Приморского края о реализации государственных программ Приморского края и социально значимых проектах и мероприятиях в Приморском крае»</t>
  </si>
  <si>
    <t>Подпрограмма № 5 «Использование результатов космической деятельности и современных геоинформационных технологий в интересах социально-экономического развития Приморского края»</t>
  </si>
  <si>
    <t>6.2.3.</t>
  </si>
  <si>
    <t>6.2.4.</t>
  </si>
  <si>
    <t>6.2.5.</t>
  </si>
  <si>
    <t>6.3.4.1.</t>
  </si>
  <si>
    <t>6.3.4.2.</t>
  </si>
  <si>
    <t>6.3.4.3.</t>
  </si>
  <si>
    <t>Освещение  деятельности органов государственной власти Приморского края краевым государственным автономным учреждением Приморского края «Приморский телевизионный центр»</t>
  </si>
  <si>
    <t>620</t>
  </si>
  <si>
    <t>Подпрограмма № 2 «Развитие информационных систем и информационных сервисов для жителей Приморского края, формирование электронного правительства»</t>
  </si>
  <si>
    <t>1160429050</t>
  </si>
  <si>
    <t xml:space="preserve">Информирование населения о реализации государственных программ Приморского края, социально значимых проектов и мероприятий в Приморском крае в средствах массовой информации
</t>
  </si>
  <si>
    <t xml:space="preserve">Информирование населения о реализации государственных программ Приморского края, социально значимых проектов и мероприятий в Приморском крае в электронных средствах массовой информации
</t>
  </si>
  <si>
    <t xml:space="preserve">Информирование населения о реализации государственных программ Приморского края, социально значимых проектов и мероприятий в Приморском крае в печатных средствах массовой информации
</t>
  </si>
  <si>
    <t>6.4.3.</t>
  </si>
  <si>
    <t>1160400000</t>
  </si>
  <si>
    <t>5225200</t>
  </si>
  <si>
    <t>610</t>
  </si>
  <si>
    <t>1160300000</t>
  </si>
  <si>
    <t>1160200000</t>
  </si>
  <si>
    <t>1150300000</t>
  </si>
  <si>
    <t>1150200000</t>
  </si>
  <si>
    <t>1150100000</t>
  </si>
  <si>
    <t>1150000000</t>
  </si>
  <si>
    <t>1160000000</t>
  </si>
  <si>
    <t>1160100000</t>
  </si>
  <si>
    <t>755
758
763</t>
  </si>
  <si>
    <t>520</t>
  </si>
  <si>
    <t>Х</t>
  </si>
  <si>
    <t>Основное мероприятие 2. Реализация проекта  по внедрению универсальной электронной карты  на территории Приморского края</t>
  </si>
  <si>
    <t>Основное мероприятие 1. Создание и обеспечение функционирования среды электронного взаимодействия государственных органов Приморского края:</t>
  </si>
  <si>
    <t>Основное мероприятие 2. Организация предоставления государственных и муниципальных услуг в многофункциональных центрах Приморского края</t>
  </si>
  <si>
    <t>Основное мероприятие 1. Формирование единого информационно-коммуникационного пространства отрасли образования в Приморском крае</t>
  </si>
  <si>
    <t>Основное мероприятие 2. Формирование единого информационно-коммуникационного пространства социальной инфраструктуры Приморского края</t>
  </si>
  <si>
    <t>Основное мероприятие 3. Формирование единого информационно-коммуникационного пространства в сфере экономической политики Приморсокого края</t>
  </si>
  <si>
    <t>Основное мероприятие 1. Управление развитием информационного общества</t>
  </si>
  <si>
    <t>Основное мероприятие 2. Обслуживание информационно-коммуникационной инфраструктуры органов государственной власти Приморского края</t>
  </si>
  <si>
    <t>Основное мероприятие 1. Формирование инфраструктуры пространственных данных Приморского края</t>
  </si>
  <si>
    <t>Основное мероприятие 3. Актуализация цифрового картографического материала на территории Приморского края</t>
  </si>
  <si>
    <t>Основное мероприятие 4. Мониторинг исполнения требований законодательства о рекламе в сфере размещения  и эксплуатации наружных рекламных конструкций</t>
  </si>
  <si>
    <t>»</t>
  </si>
  <si>
    <t xml:space="preserve">» 
</t>
  </si>
  <si>
    <t>120, 240, 850</t>
  </si>
  <si>
    <t>Поставка компьютерного и телекоммуникационного оборудования, оргтехники, программного обеспечения в рамках мероприятия по созданию многофункциональных центров предоставления государственных и муниципальных услуг в Приморском крае</t>
  </si>
  <si>
    <t>Внедрение инновационных комплексов электронных образовательных ресурсов (ЭОР) и электронных учебников для учащихся начальной и основной школы</t>
  </si>
  <si>
    <t>Внедрение и поддержка инфраструктуры доступа к электронным образовательным системам для обеспечения дистанционного обучения детей с ограниченными возможностями здоровья</t>
  </si>
  <si>
    <t>Внедрение и использование информационно-коммуникационных технологий в деятельности органов государственной власти Приморского края краевым государственным бюджетным учреждением «Информационно-технологический центр Приморского края» (далее – «ИТЦ Приморского края»)</t>
  </si>
  <si>
    <t>Основное мероприятие 1. Формирование  системы межведомственного электронного взаимодействия органов государственной власти Приморского края и органов местного самоуправления</t>
  </si>
  <si>
    <t xml:space="preserve">
Подпрограмма № 1 «Развитие телекоммуникационной инфраструктуры органов государственной власти Приморского края и органов местного самоуправления»</t>
  </si>
  <si>
    <t xml:space="preserve">Развитие регионального  телекоммуникационного центра, включая централизованную систему  организационно-технического администрирования  телекоммуникационной инфраструктуры и информационных  подсистем «электронного правительства» Приморского края; 
предоставление услуг по поддержке и администрированию региональных и 
муниципальных информационных систем
</t>
  </si>
  <si>
    <t>Наименование подпрограммы, программы, принятой в соответствии с требованиями федерального законодательства в сфере реализации государственной программы</t>
  </si>
  <si>
    <t xml:space="preserve">
2.2.</t>
  </si>
  <si>
    <t xml:space="preserve">
1.2.2.</t>
  </si>
  <si>
    <t xml:space="preserve">
Проведение дальневосточного форума информационно-коммуникативных технологий ДАЛЬИНФОКОМ</t>
  </si>
  <si>
    <t xml:space="preserve">
Создание системы космического мониторинга выявления нарушений в сфере лесного хозяйства</t>
  </si>
  <si>
    <t>всего</t>
  </si>
  <si>
    <t xml:space="preserve">
1.1.1.1.</t>
  </si>
  <si>
    <t xml:space="preserve">о ресурсном обеспечении реализации государственной программы Приморского края 
«Информационное общество» на 2013 - 2020 годы
за счет средств краевого бюджета (тыс. руб.)
 </t>
  </si>
  <si>
    <t>Выполнение функций краевым государственным казенным учреждением Приморского края «Приморская реклама и информация» в сфере размещения и эксплуатации рекламных конструкций на территории Владивостокского городского округа, Артемовского городского округа, Шкотовского муниципального района и
Надеждинского муниципального района</t>
  </si>
  <si>
    <t xml:space="preserve">о ресурсном обеспечении государственной программы Приморского края «Информационное общество» на 2013-2020 годы за счет средств краевого бюджета и прогнозная оценка привлекаемых на реализацию ее целей средств федерального бюджета, бюджетов государственных внебюджетных фондов, иных внебюджетных источников, бюджетов муниципальных образований Приморского края в случае участия Приморского края в реализации муниципальных программ, аналогичных мероприятиям государственной программы Приморского края
 </t>
  </si>
  <si>
    <t xml:space="preserve">
Обеспечение деятельности краевого государственного бюджетного учреждения «Центр занятости населения
города Владивостока» в части использования сервисов информационной системы и организации пунктов приема заявлений по выдаче, выпуску и обслуживанию универсальных электронных карт в Приморском крае</t>
  </si>
  <si>
    <t xml:space="preserve">
Создание и развитие государственной информационной системы учета сдачи леса на пунктах приемки древесины</t>
  </si>
  <si>
    <t xml:space="preserve">
Исполнение решений, принятых судебными органами в сфере размещения
и эксплуатации рекламных конструкций на территории Владивостокского городского округа, Артемовского городского округа, Шкотовского муниципального района, Надеждинского муниципального района</t>
  </si>
  <si>
    <t>Предоставление субсидий краевым государственным автономным учреждениям на финансовое обеспечение выполнения государственного задания</t>
  </si>
  <si>
    <t xml:space="preserve">
Подпрограмма № 2 «Развитие информационных систем и информационных сервисов для жителей Приморского края, формирование электронного правительства»</t>
  </si>
  <si>
    <t xml:space="preserve">
Развитие системы Интернет-сайтов и информационной поддержки государственных органов Приморского  края и органов местного самоуправления на основе «единой точки входа»</t>
  </si>
  <si>
    <t>Предоставление субсидий из  краевого бюджета бюджетам муниципальных образований Приморского края на мероприятия по программно-техническому обслуживанию сети доступа к сети Интернет муниципальных общеобразовательных организаций, включая оплату трафика</t>
  </si>
  <si>
    <t>Оказание услуг по развитию функциональных возможностей 
геоаналитической  системы «Агроуправление» с использованием данных дистанционного зондирования земли</t>
  </si>
  <si>
    <t xml:space="preserve">
Предоставление субсидии на финансовое
обеспечение  выполнения государственного задания  краевому государственному автономному учреждению Приморского края «Приморский телевизионный центр»</t>
  </si>
  <si>
    <t>Предоставление субсидии на укрепление материально-технической базы краевому
 государственному автономному учреждению «Редакция газеты «Приморская газета: официальное издание
органов государственной власти Приморского края»</t>
  </si>
  <si>
    <t>Предоставление субсидий из  краевого бюджета бюджетам
муниципальных образований
Приморского края на
мероприятия по программно-
техническому обслуживанию сети
доступа к сети Интернет
муниципальных
общеобразовательных
организаций, включая оплату трафика</t>
  </si>
  <si>
    <t>6.3.6.</t>
  </si>
  <si>
    <t>6.4.4.</t>
  </si>
  <si>
    <t>Обеспечение полномочий в сфере размещения и эксплуатации рекламных конструкций на территории Владивостокского городского округа, Артемовского городского округа, Шкотовского муниципального района и
Надеждинского муниципального района</t>
  </si>
  <si>
    <t>Основное мероприятие 1. Реализация государственной информационной политики в Приморском крае</t>
  </si>
  <si>
    <t>Основное мероприятие 2. Информирование населения Приморского края</t>
  </si>
  <si>
    <t>1160370420</t>
  </si>
  <si>
    <t>613</t>
  </si>
  <si>
    <t>623</t>
  </si>
  <si>
    <t>6.4.4.1.</t>
  </si>
  <si>
    <t>6.4.4.2.</t>
  </si>
  <si>
    <t>6.4.4.3.</t>
  </si>
  <si>
    <t>1.3.1.</t>
  </si>
  <si>
    <t>Основное мероприятие 3. Обеспечение доступности для населения Приморского края и организаций современных услуг в сфере информационно-коммуникационных технологий</t>
  </si>
  <si>
    <t>4.1.4.</t>
  </si>
  <si>
    <t>1.2.7.</t>
  </si>
  <si>
    <t>11102xxxx0</t>
  </si>
  <si>
    <t xml:space="preserve">департамент градостроительства Приморского края     </t>
  </si>
  <si>
    <t>департамент градостроительства  Приморского края</t>
  </si>
  <si>
    <t>755
758
763 775</t>
  </si>
  <si>
    <t>Разработка концепции региональной информатизации Приморского края и дорожной карты реализации концепции</t>
  </si>
  <si>
    <t>1140123060</t>
  </si>
  <si>
    <t>Предоставление субсидий из краевого бюджета в виде грантов бюджетным и автономным учреждениям, осуществляющим деятельность в сфере производства и распространения социально значимой продукции средств массовой информации</t>
  </si>
  <si>
    <t>Основное мероприятие 2. Создание отраслевых региональных информационных систем управления с использованием результатов космической деятельности</t>
  </si>
  <si>
    <t>1160423100</t>
  </si>
  <si>
    <t>520, 540, 610, 620</t>
  </si>
  <si>
    <t>755
758
763     775</t>
  </si>
  <si>
    <t>Предоставление из краевого бюджета бюджетам муниципальных образований Приморского края иных межбюджетных трансфертов на выплату гранта победителям конкурса «Лучший муниципальный многофункциональный центр Приморского края»</t>
  </si>
  <si>
    <t xml:space="preserve">Государственная программа Приморского края «Информационное общество» на
2013 – 2020 годы
</t>
  </si>
  <si>
    <r>
      <rPr>
        <b/>
        <sz val="12"/>
        <rFont val="Arial"/>
        <family val="2"/>
        <charset val="204"/>
      </rPr>
      <t>Основное мероприятие 1.</t>
    </r>
    <r>
      <rPr>
        <sz val="12"/>
        <rFont val="Arial"/>
        <family val="2"/>
        <charset val="204"/>
      </rPr>
      <t xml:space="preserve"> Формирование системы межведомственного электронного взаимодействия органов государственной власти Приморского края и органов местного самоуправления</t>
    </r>
  </si>
  <si>
    <r>
      <rPr>
        <b/>
        <sz val="12"/>
        <color indexed="8"/>
        <rFont val="Arial"/>
        <family val="2"/>
        <charset val="204"/>
      </rPr>
      <t xml:space="preserve">Основное мероприятие 2. </t>
    </r>
    <r>
      <rPr>
        <sz val="12"/>
        <color indexed="8"/>
        <rFont val="Arial"/>
        <family val="2"/>
        <charset val="204"/>
      </rPr>
      <t>Организация предоставления государственных и муниципальных услуг в многофункциональных центрах Приморского края</t>
    </r>
  </si>
  <si>
    <r>
      <rPr>
        <b/>
        <sz val="12"/>
        <rFont val="Arial"/>
        <family val="2"/>
        <charset val="204"/>
      </rPr>
      <t>Основное мероприятие 3.</t>
    </r>
    <r>
      <rPr>
        <sz val="12"/>
        <rFont val="Arial"/>
        <family val="2"/>
        <charset val="204"/>
      </rPr>
      <t xml:space="preserve"> </t>
    </r>
    <r>
      <rPr>
        <sz val="12"/>
        <color indexed="8"/>
        <rFont val="Arial"/>
        <family val="2"/>
        <charset val="204"/>
      </rPr>
      <t>Обеспечение доступности для населения Приморского края и организаций современных услуг в сфере информационно-коммуникационных технологий</t>
    </r>
  </si>
  <si>
    <r>
      <rPr>
        <b/>
        <sz val="12"/>
        <rFont val="Arial"/>
        <family val="2"/>
        <charset val="204"/>
      </rPr>
      <t>Основное мероприятие 1.</t>
    </r>
    <r>
      <rPr>
        <sz val="12"/>
        <rFont val="Arial"/>
        <family val="2"/>
        <charset val="204"/>
      </rPr>
      <t xml:space="preserve"> Создание и обеспечение функционирования среды электронного взаимодействия государственных органов Приморского края</t>
    </r>
  </si>
  <si>
    <r>
      <rPr>
        <b/>
        <sz val="12"/>
        <color indexed="8"/>
        <rFont val="Arial"/>
        <family val="2"/>
        <charset val="204"/>
      </rPr>
      <t>Основное мероприятие 2.</t>
    </r>
    <r>
      <rPr>
        <sz val="12"/>
        <color indexed="8"/>
        <rFont val="Arial"/>
        <family val="2"/>
        <charset val="204"/>
      </rPr>
      <t xml:space="preserve"> Реализация проекта по внедрению универсальной электронной карты на территории Приморского края</t>
    </r>
  </si>
  <si>
    <r>
      <rPr>
        <b/>
        <sz val="12"/>
        <rFont val="Arial"/>
        <family val="2"/>
        <charset val="204"/>
      </rPr>
      <t>Основное мероприятие 1.</t>
    </r>
    <r>
      <rPr>
        <sz val="12"/>
        <rFont val="Arial"/>
        <family val="2"/>
        <charset val="204"/>
      </rPr>
      <t xml:space="preserve"> Формирование единого информационно-коммуникационного пространства отрасли образования в Приморском крае</t>
    </r>
  </si>
  <si>
    <r>
      <rPr>
        <b/>
        <sz val="12"/>
        <color indexed="8"/>
        <rFont val="Arial"/>
        <family val="2"/>
        <charset val="204"/>
      </rPr>
      <t>Основное мероприятие 2.</t>
    </r>
    <r>
      <rPr>
        <sz val="12"/>
        <color indexed="8"/>
        <rFont val="Arial"/>
        <family val="2"/>
        <charset val="204"/>
      </rPr>
      <t xml:space="preserve"> Формирование единого информационно-коммуникационного пространства социальной инфраструктуры Приморского края</t>
    </r>
  </si>
  <si>
    <r>
      <rPr>
        <b/>
        <sz val="12"/>
        <rFont val="Arial"/>
        <family val="2"/>
        <charset val="204"/>
      </rPr>
      <t>Основное мероприятие 3.</t>
    </r>
    <r>
      <rPr>
        <sz val="12"/>
        <rFont val="Arial"/>
        <family val="2"/>
        <charset val="204"/>
      </rPr>
      <t xml:space="preserve"> Формирование единого информационно-коммуникационного пространства в сфере экономической политики Приморсокого края</t>
    </r>
  </si>
  <si>
    <r>
      <rPr>
        <b/>
        <sz val="12"/>
        <rFont val="Arial"/>
        <family val="2"/>
        <charset val="204"/>
      </rPr>
      <t>Основное мероприятие 1.</t>
    </r>
    <r>
      <rPr>
        <sz val="12"/>
        <rFont val="Arial"/>
        <family val="2"/>
        <charset val="204"/>
      </rPr>
      <t xml:space="preserve"> Управление развитием информационного общества</t>
    </r>
  </si>
  <si>
    <r>
      <rPr>
        <b/>
        <sz val="12"/>
        <rFont val="Arial"/>
        <family val="2"/>
        <charset val="204"/>
      </rPr>
      <t>Основное мероприятие 2.</t>
    </r>
    <r>
      <rPr>
        <sz val="12"/>
        <rFont val="Arial"/>
        <family val="2"/>
        <charset val="204"/>
      </rPr>
      <t xml:space="preserve"> Обслуживание информационно-коммуникационной инфраструктуры органов госудраственной власти Приморского края</t>
    </r>
  </si>
  <si>
    <r>
      <rPr>
        <b/>
        <sz val="12"/>
        <rFont val="Arial"/>
        <family val="2"/>
        <charset val="204"/>
      </rPr>
      <t>Основное мероприятие 1.</t>
    </r>
    <r>
      <rPr>
        <sz val="12"/>
        <rFont val="Arial"/>
        <family val="2"/>
        <charset val="204"/>
      </rPr>
      <t xml:space="preserve"> Формирование инфраструктуры пространственных данных Приморского края</t>
    </r>
  </si>
  <si>
    <r>
      <rPr>
        <b/>
        <sz val="12"/>
        <color indexed="8"/>
        <rFont val="Arial"/>
        <family val="2"/>
        <charset val="204"/>
      </rPr>
      <t>Основное мероприятие 2.</t>
    </r>
    <r>
      <rPr>
        <sz val="12"/>
        <color indexed="8"/>
        <rFont val="Arial"/>
        <family val="2"/>
        <charset val="204"/>
      </rPr>
      <t xml:space="preserve"> Создание отраслевых региональных информационных систем управления с использованием результатов космической деятельности</t>
    </r>
  </si>
  <si>
    <r>
      <rPr>
        <b/>
        <sz val="12"/>
        <rFont val="Arial"/>
        <family val="2"/>
        <charset val="204"/>
      </rPr>
      <t xml:space="preserve">
Основное мероприятие 3. </t>
    </r>
    <r>
      <rPr>
        <sz val="12"/>
        <rFont val="Arial"/>
        <family val="2"/>
        <charset val="204"/>
      </rPr>
      <t>Актуализация цифрового картографического материала на территории Приморского края</t>
    </r>
  </si>
  <si>
    <r>
      <t>Основное мероприятие 4.</t>
    </r>
    <r>
      <rPr>
        <sz val="12"/>
        <color indexed="8"/>
        <rFont val="Arial"/>
        <family val="2"/>
        <charset val="204"/>
      </rPr>
      <t xml:space="preserve"> Мониторинг исполнения требований законодательства о рекламе в сфере размещения  и эксплуатации наружных рекламных конструкций</t>
    </r>
  </si>
  <si>
    <t>Основное мероприятие 3. Обеспечение доступа граждан к информации о реализации государственных программ Приморского края, о социально значимых мероприятиях, о мероприятиях, направленных на достижение общественно полезных целей, а также на обеспечение интересов государства</t>
  </si>
  <si>
    <t>Выполнение функций краевым государственным казенным учреждением Приморского края «Приморский краевой центр производства социально значимой информации» по обеспечению доступа граждан к информации о реализации государственных программ Приморского края, проведении социально значимых мероприятий, распространению информации в средствах массовой информации, информационно-телекоммуникационной сети Интернет, иных носителях информации</t>
  </si>
  <si>
    <t xml:space="preserve">
Обеспечение функционирования единого краевого электронного образовательного интернет-портала "Электронная школа Приморья"</t>
  </si>
  <si>
    <t>Государственная программа «Информационное общество» на
2013 – 2020 годы</t>
  </si>
  <si>
    <r>
      <t xml:space="preserve">Развитие регионального  телекоммуникационного центра, включая централизованную систему  организационно-технического администрирования  телекоммуникационной инфраструктуры и </t>
    </r>
    <r>
      <rPr>
        <sz val="12"/>
        <rFont val="Arial"/>
        <family val="2"/>
        <charset val="204"/>
      </rPr>
      <t>информационных подсистем «электронного правительства» Приморского края; предоставление услуг по поддержке и администрированию региональных и муниципальных информационных систем</t>
    </r>
  </si>
  <si>
    <t>Развитие системы интернет-сайтов и информационной поддержки государственных органов Приморского  края и органов местного самоуправления на основе «единой точки входа»</t>
  </si>
  <si>
    <t>департамент информатизации и 
телекоммуникации Приморского края</t>
  </si>
  <si>
    <t>Обеспечение доступности для населения Приморского края и организаций современных услуг в сфере информационно-коммуникационных технологий, в том числе создание центров общественного доступа к официальным сайтам государственных органов в местах приема граждан и других публичных местах</t>
  </si>
  <si>
    <t>Обеспечение доступности для населения Приморского края и организаций 
современных услуг в сфере информационно-коммуникационных технологий, в том числе  создание центров общественного доступа к официальным сайтам государственных органов в местах приема граждан и других публичных местах (инфоматы)</t>
  </si>
  <si>
    <t xml:space="preserve">
Внедрение и использование информационно-коммуникационных технологий в деятельности органов 
государственной власти Приморского края краевым государственным бюджетным учреждением «Информационно-технологический центр Приморского края» (далее – КГБУ «ИТЦ Приморского края»)</t>
  </si>
  <si>
    <t xml:space="preserve">Предоставление субсидии на финансовое обеспечение выполнения государственного задания  КГБУ «ИТЦ Приморского края»  </t>
  </si>
  <si>
    <t>Предоставление субсидии КГБУ «ИТЦ Приморского края» на иные цели, не связанные с финансовым обеспечением выполнения государственного задания</t>
  </si>
  <si>
    <t xml:space="preserve">Предоставление субсидии на финансовое обеспечение выполнения государственного задания КГБУ «ИТЦ Приморского края» </t>
  </si>
  <si>
    <t>Предоставление субсидии по укреплению  материально технической базы краевому государственному автономному учреждению Приморского края «Приморский телевизионный центр»</t>
  </si>
  <si>
    <t>Подпрограмма 5 «Использование результатов космической деятельности и современных геоинформационных технологий в интересах социально-экономического развития Приморского края»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</si>
</sst>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Red]#,##0.00"/>
  </numFmts>
  <fonts count="43" x14ac:knownFonts="1">
    <font>
      <sz val="14"/>
      <color theme="1"/>
      <name val="Times New Roman"/>
      <family val="2"/>
      <charset val="204"/>
    </font>
    <font>
      <sz val="11"/>
      <color theme="1"/>
      <name val="Calibri"/>
      <family val="2"/>
      <charset val="204"/>
      <scheme val="minor"/>
    </font>
    <font>
      <sz val="11"/>
      <color indexed="8"/>
      <name val="Times New Roman"/>
      <family val="2"/>
      <charset val="204"/>
    </font>
    <font>
      <sz val="11"/>
      <name val="Times New Roman"/>
      <family val="2"/>
      <charset val="204"/>
    </font>
    <font>
      <sz val="11"/>
      <color indexed="62"/>
      <name val="Times New Roman"/>
      <family val="2"/>
      <charset val="204"/>
    </font>
    <font>
      <b/>
      <sz val="10"/>
      <color indexed="10"/>
      <name val="Times New Roman"/>
      <family val="1"/>
      <charset val="204"/>
    </font>
    <font>
      <b/>
      <sz val="10"/>
      <name val="Times New Roman"/>
      <family val="1"/>
      <charset val="204"/>
    </font>
    <font>
      <sz val="12"/>
      <color indexed="8"/>
      <name val="Times New Roman"/>
      <family val="1"/>
      <charset val="204"/>
    </font>
    <font>
      <b/>
      <sz val="12"/>
      <color indexed="8"/>
      <name val="Times New Roman"/>
      <family val="1"/>
      <charset val="204"/>
    </font>
    <font>
      <b/>
      <sz val="12"/>
      <color indexed="8"/>
      <name val="Times New Roman"/>
      <family val="1"/>
      <charset val="204"/>
    </font>
    <font>
      <b/>
      <sz val="16"/>
      <name val="Times New Roman"/>
      <family val="1"/>
      <charset val="204"/>
    </font>
    <font>
      <sz val="16"/>
      <name val="Times New Roman"/>
      <family val="1"/>
      <charset val="204"/>
    </font>
    <font>
      <b/>
      <sz val="16"/>
      <color indexed="10"/>
      <name val="Times New Roman"/>
      <family val="1"/>
      <charset val="204"/>
    </font>
    <font>
      <sz val="16"/>
      <color indexed="8"/>
      <name val="Times New Roman"/>
      <family val="1"/>
      <charset val="204"/>
    </font>
    <font>
      <sz val="16"/>
      <color indexed="8"/>
      <name val="Times New Roman"/>
      <family val="1"/>
      <charset val="204"/>
    </font>
    <font>
      <b/>
      <sz val="11"/>
      <color indexed="8"/>
      <name val="Times New Roman"/>
      <family val="1"/>
      <charset val="204"/>
    </font>
    <font>
      <sz val="11"/>
      <color indexed="8"/>
      <name val="Times New Roman"/>
      <family val="2"/>
      <charset val="204"/>
    </font>
    <font>
      <sz val="12"/>
      <name val="Times New Roman"/>
      <family val="1"/>
      <charset val="204"/>
    </font>
    <font>
      <b/>
      <sz val="12"/>
      <name val="Times New Roman"/>
      <family val="1"/>
      <charset val="204"/>
    </font>
    <font>
      <sz val="11"/>
      <name val="Times New Roman"/>
      <family val="1"/>
      <charset val="204"/>
    </font>
    <font>
      <sz val="14"/>
      <color indexed="8"/>
      <name val="Times New Roman"/>
      <family val="2"/>
      <charset val="204"/>
    </font>
    <font>
      <sz val="14"/>
      <name val="Times New Roman"/>
      <family val="1"/>
      <charset val="204"/>
    </font>
    <font>
      <b/>
      <sz val="11"/>
      <name val="Times New Roman"/>
      <family val="1"/>
      <charset val="204"/>
    </font>
    <font>
      <sz val="14"/>
      <name val="Times New Roman"/>
      <family val="2"/>
      <charset val="204"/>
    </font>
    <font>
      <sz val="24"/>
      <name val="Times New Roman"/>
      <family val="2"/>
      <charset val="204"/>
    </font>
    <font>
      <sz val="26"/>
      <name val="Times New Roman"/>
      <family val="1"/>
      <charset val="204"/>
    </font>
    <font>
      <b/>
      <sz val="26"/>
      <name val="Times New Roman"/>
      <family val="1"/>
      <charset val="204"/>
    </font>
    <font>
      <sz val="24"/>
      <name val="Times New Roman"/>
      <family val="1"/>
      <charset val="204"/>
    </font>
    <font>
      <b/>
      <sz val="24"/>
      <name val="Times New Roman"/>
      <family val="1"/>
      <charset val="204"/>
    </font>
    <font>
      <b/>
      <sz val="12"/>
      <name val="Arial"/>
      <family val="2"/>
      <charset val="204"/>
    </font>
    <font>
      <b/>
      <sz val="14"/>
      <color indexed="8"/>
      <name val="Arial"/>
      <family val="2"/>
      <charset val="204"/>
    </font>
    <font>
      <sz val="12"/>
      <name val="Arial"/>
      <family val="2"/>
      <charset val="204"/>
    </font>
    <font>
      <b/>
      <sz val="12"/>
      <color indexed="8"/>
      <name val="Arial"/>
      <family val="2"/>
      <charset val="204"/>
    </font>
    <font>
      <sz val="12"/>
      <color indexed="8"/>
      <name val="Arial"/>
      <family val="2"/>
      <charset val="204"/>
    </font>
    <font>
      <b/>
      <sz val="11"/>
      <color indexed="8"/>
      <name val="Arial"/>
      <family val="2"/>
      <charset val="204"/>
    </font>
    <font>
      <b/>
      <sz val="16"/>
      <name val="Arial"/>
      <family val="2"/>
      <charset val="204"/>
    </font>
    <font>
      <sz val="11"/>
      <name val="Arial"/>
      <family val="2"/>
      <charset val="204"/>
    </font>
    <font>
      <sz val="11"/>
      <color indexed="8"/>
      <name val="Arial"/>
      <family val="2"/>
      <charset val="204"/>
    </font>
    <font>
      <sz val="14"/>
      <name val="Arial"/>
      <family val="2"/>
      <charset val="204"/>
    </font>
    <font>
      <sz val="14"/>
      <color theme="1"/>
      <name val="Arial"/>
      <family val="2"/>
      <charset val="204"/>
    </font>
    <font>
      <b/>
      <sz val="11"/>
      <name val="Arial"/>
      <family val="2"/>
      <charset val="204"/>
    </font>
    <font>
      <sz val="12"/>
      <color theme="1"/>
      <name val="Arial"/>
      <family val="2"/>
      <charset val="204"/>
    </font>
    <font>
      <sz val="11"/>
      <color theme="1"/>
      <name val="Arial"/>
      <family val="2"/>
      <charset val="204"/>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s>
  <cellStyleXfs count="2">
    <xf numFmtId="0" fontId="0" fillId="0" borderId="0"/>
    <xf numFmtId="0" fontId="1" fillId="0" borderId="0"/>
  </cellStyleXfs>
  <cellXfs count="571">
    <xf numFmtId="0" fontId="0" fillId="0" borderId="0" xfId="0"/>
    <xf numFmtId="0" fontId="15" fillId="0" borderId="0" xfId="0" applyFont="1" applyFill="1" applyAlignment="1">
      <alignment horizontal="center"/>
    </xf>
    <xf numFmtId="0" fontId="2" fillId="0" borderId="0" xfId="0" applyFont="1" applyFill="1"/>
    <xf numFmtId="4" fontId="5" fillId="0" borderId="0" xfId="0" applyNumberFormat="1" applyFont="1" applyFill="1" applyAlignment="1">
      <alignment horizontal="right" vertical="center" wrapText="1"/>
    </xf>
    <xf numFmtId="0" fontId="10" fillId="0" borderId="0" xfId="0" applyFont="1" applyFill="1" applyAlignment="1">
      <alignment horizontal="centerContinuous" vertical="top" wrapText="1"/>
    </xf>
    <xf numFmtId="0" fontId="3" fillId="0" borderId="0" xfId="0" applyFont="1" applyFill="1" applyAlignment="1">
      <alignment horizontal="centerContinuous" vertical="center" wrapText="1"/>
    </xf>
    <xf numFmtId="0" fontId="11" fillId="0" borderId="0" xfId="0" applyFont="1" applyFill="1" applyAlignment="1">
      <alignment horizontal="centerContinuous" vertical="center" wrapText="1"/>
    </xf>
    <xf numFmtId="4" fontId="10" fillId="0" borderId="0" xfId="0" applyNumberFormat="1" applyFont="1" applyFill="1" applyAlignment="1">
      <alignment horizontal="right" vertical="center" wrapText="1"/>
    </xf>
    <xf numFmtId="0" fontId="20" fillId="0" borderId="0" xfId="0" applyFont="1" applyFill="1" applyAlignment="1">
      <alignment horizontal="center" wrapText="1"/>
    </xf>
    <xf numFmtId="4" fontId="6" fillId="0" borderId="0" xfId="0" applyNumberFormat="1" applyFont="1" applyFill="1" applyAlignment="1">
      <alignment horizontal="right" vertical="center" wrapText="1"/>
    </xf>
    <xf numFmtId="0" fontId="3" fillId="0" borderId="0" xfId="0" applyFont="1" applyFill="1"/>
    <xf numFmtId="49" fontId="2" fillId="0" borderId="0" xfId="0" applyNumberFormat="1" applyFont="1" applyFill="1" applyAlignment="1">
      <alignment horizontal="center"/>
    </xf>
    <xf numFmtId="49" fontId="11" fillId="0" borderId="0" xfId="0" applyNumberFormat="1" applyFont="1" applyFill="1" applyAlignment="1">
      <alignment horizontal="center" vertical="center" wrapText="1"/>
    </xf>
    <xf numFmtId="0" fontId="22" fillId="0" borderId="0" xfId="0" applyFont="1" applyFill="1"/>
    <xf numFmtId="0" fontId="23" fillId="0" borderId="0" xfId="0" applyFont="1" applyFill="1" applyAlignment="1">
      <alignment horizontal="right" vertical="top" wrapText="1"/>
    </xf>
    <xf numFmtId="0" fontId="18" fillId="0" borderId="6" xfId="0" applyFont="1" applyFill="1" applyBorder="1" applyAlignment="1">
      <alignment horizontal="center" vertical="top" wrapText="1"/>
    </xf>
    <xf numFmtId="0" fontId="17" fillId="0" borderId="8" xfId="0" applyFont="1" applyFill="1" applyBorder="1" applyAlignment="1">
      <alignment horizontal="center" vertical="top" wrapText="1"/>
    </xf>
    <xf numFmtId="0" fontId="17" fillId="0" borderId="6" xfId="0" applyFont="1" applyFill="1" applyBorder="1" applyAlignment="1">
      <alignment horizontal="center" vertical="top" wrapText="1"/>
    </xf>
    <xf numFmtId="0" fontId="17" fillId="0" borderId="5" xfId="0" applyFont="1" applyFill="1" applyBorder="1" applyAlignment="1">
      <alignment horizontal="center" vertical="top" wrapText="1"/>
    </xf>
    <xf numFmtId="0" fontId="17" fillId="0" borderId="11" xfId="0" applyFont="1" applyFill="1" applyBorder="1" applyAlignment="1">
      <alignment horizontal="center" vertical="top" wrapText="1"/>
    </xf>
    <xf numFmtId="0" fontId="9" fillId="0" borderId="6"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24" fillId="0" borderId="0" xfId="0" applyFont="1" applyFill="1" applyAlignment="1">
      <alignment horizontal="right" vertical="top" wrapText="1"/>
    </xf>
    <xf numFmtId="0" fontId="8" fillId="0" borderId="0" xfId="0" applyFont="1" applyFill="1" applyBorder="1" applyAlignment="1">
      <alignment vertical="center" wrapText="1"/>
    </xf>
    <xf numFmtId="0" fontId="18" fillId="0" borderId="0" xfId="0" applyFont="1" applyFill="1" applyBorder="1" applyAlignment="1">
      <alignment vertical="center" wrapText="1"/>
    </xf>
    <xf numFmtId="0" fontId="17" fillId="0" borderId="2"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29" fillId="0" borderId="4" xfId="0" applyFont="1" applyFill="1" applyBorder="1" applyAlignment="1">
      <alignment horizontal="center" vertical="top" wrapText="1"/>
    </xf>
    <xf numFmtId="0" fontId="29" fillId="0" borderId="2" xfId="0" applyFont="1" applyFill="1" applyBorder="1" applyAlignment="1">
      <alignment horizontal="justify" vertical="top" wrapText="1"/>
    </xf>
    <xf numFmtId="0" fontId="31" fillId="0" borderId="1" xfId="0" applyFont="1" applyFill="1" applyBorder="1" applyAlignment="1">
      <alignment horizontal="left" vertical="top" wrapText="1"/>
    </xf>
    <xf numFmtId="0" fontId="31" fillId="0" borderId="1" xfId="0" applyFont="1" applyFill="1" applyBorder="1" applyAlignment="1">
      <alignment horizontal="justify" vertical="top" wrapText="1"/>
    </xf>
    <xf numFmtId="0" fontId="31" fillId="0" borderId="2" xfId="0" applyFont="1" applyFill="1" applyBorder="1" applyAlignment="1">
      <alignment horizontal="justify" vertical="top" wrapText="1"/>
    </xf>
    <xf numFmtId="0" fontId="2" fillId="0" borderId="0" xfId="0" applyFont="1" applyFill="1" applyAlignment="1">
      <alignment horizontal="left"/>
    </xf>
    <xf numFmtId="0" fontId="2" fillId="0" borderId="0" xfId="0" applyFont="1" applyFill="1" applyAlignment="1">
      <alignment horizontal="center"/>
    </xf>
    <xf numFmtId="0" fontId="20" fillId="0" borderId="0" xfId="0" applyFont="1" applyFill="1"/>
    <xf numFmtId="0" fontId="0" fillId="0" borderId="0" xfId="0" applyFont="1" applyFill="1"/>
    <xf numFmtId="0" fontId="0" fillId="0" borderId="0" xfId="0" applyFill="1"/>
    <xf numFmtId="0" fontId="14" fillId="0" borderId="0" xfId="0" applyFont="1" applyFill="1"/>
    <xf numFmtId="0" fontId="3" fillId="0" borderId="0" xfId="0" applyFont="1" applyFill="1" applyAlignment="1">
      <alignment horizontal="left" vertical="center" wrapText="1"/>
    </xf>
    <xf numFmtId="0" fontId="3" fillId="0" borderId="0" xfId="0" applyFont="1" applyFill="1" applyAlignment="1">
      <alignment horizontal="center" vertical="center" wrapText="1"/>
    </xf>
    <xf numFmtId="0" fontId="30" fillId="0" borderId="3" xfId="0" applyFont="1" applyFill="1" applyBorder="1" applyAlignment="1">
      <alignment horizontal="center" vertical="center"/>
    </xf>
    <xf numFmtId="0" fontId="0" fillId="0" borderId="0" xfId="0" applyFill="1" applyBorder="1"/>
    <xf numFmtId="4" fontId="7" fillId="0" borderId="11" xfId="0" applyNumberFormat="1" applyFont="1" applyFill="1" applyBorder="1" applyAlignment="1">
      <alignment horizontal="center" vertical="center"/>
    </xf>
    <xf numFmtId="4" fontId="0" fillId="0" borderId="0" xfId="0" applyNumberFormat="1" applyFill="1"/>
    <xf numFmtId="0" fontId="21" fillId="0" borderId="0" xfId="0" applyFont="1" applyFill="1"/>
    <xf numFmtId="0" fontId="19" fillId="0" borderId="0" xfId="0" applyFont="1" applyFill="1"/>
    <xf numFmtId="0" fontId="4" fillId="0" borderId="0" xfId="0" applyFont="1" applyFill="1"/>
    <xf numFmtId="4" fontId="6" fillId="0" borderId="9" xfId="0" applyNumberFormat="1" applyFont="1" applyFill="1" applyBorder="1" applyAlignment="1">
      <alignment horizontal="right" vertical="center" wrapText="1"/>
    </xf>
    <xf numFmtId="4" fontId="5" fillId="0" borderId="9" xfId="0" applyNumberFormat="1" applyFont="1" applyFill="1" applyBorder="1" applyAlignment="1">
      <alignment horizontal="right" vertical="center" wrapText="1"/>
    </xf>
    <xf numFmtId="0" fontId="3" fillId="0" borderId="9" xfId="0" applyFont="1" applyFill="1" applyBorder="1"/>
    <xf numFmtId="4" fontId="6" fillId="0" borderId="0" xfId="0" applyNumberFormat="1" applyFont="1" applyFill="1" applyBorder="1" applyAlignment="1">
      <alignment horizontal="right" vertical="center" wrapText="1"/>
    </xf>
    <xf numFmtId="4" fontId="5" fillId="0" borderId="0" xfId="0" applyNumberFormat="1" applyFont="1" applyFill="1" applyBorder="1" applyAlignment="1">
      <alignment horizontal="right" vertical="center" wrapText="1"/>
    </xf>
    <xf numFmtId="0" fontId="3" fillId="0" borderId="0" xfId="0" applyFont="1" applyFill="1" applyBorder="1"/>
    <xf numFmtId="0" fontId="16" fillId="0" borderId="0" xfId="0" applyFont="1" applyFill="1" applyAlignment="1">
      <alignment horizontal="left"/>
    </xf>
    <xf numFmtId="4" fontId="16" fillId="0" borderId="0" xfId="0" applyNumberFormat="1" applyFont="1" applyFill="1" applyAlignment="1">
      <alignment horizontal="right" vertical="center" wrapText="1"/>
    </xf>
    <xf numFmtId="4" fontId="16" fillId="0" borderId="0" xfId="0" applyNumberFormat="1" applyFont="1" applyFill="1" applyAlignment="1">
      <alignment horizontal="center" vertical="center" wrapText="1"/>
    </xf>
    <xf numFmtId="4" fontId="0" fillId="0" borderId="0" xfId="0" applyNumberFormat="1" applyFill="1" applyAlignment="1">
      <alignment horizontal="right" vertical="center" wrapText="1"/>
    </xf>
    <xf numFmtId="0" fontId="32" fillId="0" borderId="2" xfId="0" applyFont="1" applyFill="1" applyBorder="1" applyAlignment="1">
      <alignment vertical="center" wrapText="1"/>
    </xf>
    <xf numFmtId="0" fontId="33" fillId="0" borderId="2" xfId="0" applyFont="1" applyFill="1" applyBorder="1" applyAlignment="1">
      <alignment vertical="center" wrapText="1"/>
    </xf>
    <xf numFmtId="0" fontId="33" fillId="0" borderId="2" xfId="0" applyFont="1" applyFill="1" applyBorder="1" applyAlignment="1">
      <alignment horizontal="justify" vertical="center" wrapText="1"/>
    </xf>
    <xf numFmtId="0" fontId="31" fillId="0" borderId="2" xfId="0" applyFont="1" applyFill="1" applyBorder="1" applyAlignment="1">
      <alignment horizontal="center" vertical="center" wrapText="1"/>
    </xf>
    <xf numFmtId="4" fontId="29" fillId="0" borderId="6" xfId="0" applyNumberFormat="1" applyFont="1" applyFill="1" applyBorder="1" applyAlignment="1">
      <alignment horizontal="center" vertical="center" wrapText="1"/>
    </xf>
    <xf numFmtId="4" fontId="29" fillId="0" borderId="2" xfId="0" applyNumberFormat="1" applyFont="1" applyFill="1" applyBorder="1" applyAlignment="1">
      <alignment horizontal="center" vertical="center" wrapText="1"/>
    </xf>
    <xf numFmtId="4" fontId="31" fillId="0" borderId="6" xfId="0" applyNumberFormat="1" applyFont="1" applyFill="1" applyBorder="1" applyAlignment="1">
      <alignment horizontal="center" vertical="center" wrapText="1"/>
    </xf>
    <xf numFmtId="4" fontId="31" fillId="0" borderId="2" xfId="0" applyNumberFormat="1" applyFont="1" applyFill="1" applyBorder="1" applyAlignment="1">
      <alignment horizontal="center" vertical="center" wrapText="1"/>
    </xf>
    <xf numFmtId="4" fontId="32" fillId="0" borderId="2" xfId="0" applyNumberFormat="1" applyFont="1" applyFill="1" applyBorder="1" applyAlignment="1">
      <alignment horizontal="center" vertical="center"/>
    </xf>
    <xf numFmtId="4" fontId="32" fillId="0" borderId="6" xfId="0" applyNumberFormat="1" applyFont="1" applyFill="1" applyBorder="1" applyAlignment="1">
      <alignment horizontal="center" vertical="center"/>
    </xf>
    <xf numFmtId="164" fontId="31" fillId="0" borderId="6" xfId="0" applyNumberFormat="1" applyFont="1" applyFill="1" applyBorder="1" applyAlignment="1">
      <alignment horizontal="center" vertical="center" wrapText="1"/>
    </xf>
    <xf numFmtId="4" fontId="33" fillId="0" borderId="2" xfId="0" applyNumberFormat="1" applyFont="1" applyFill="1" applyBorder="1" applyAlignment="1">
      <alignment horizontal="center" vertical="center"/>
    </xf>
    <xf numFmtId="164" fontId="31" fillId="0" borderId="8" xfId="0" applyNumberFormat="1" applyFont="1" applyFill="1" applyBorder="1" applyAlignment="1">
      <alignment horizontal="center" vertical="center" wrapText="1"/>
    </xf>
    <xf numFmtId="4" fontId="31" fillId="0" borderId="1" xfId="0" applyNumberFormat="1" applyFont="1" applyFill="1" applyBorder="1" applyAlignment="1">
      <alignment horizontal="center" vertical="center" wrapText="1"/>
    </xf>
    <xf numFmtId="4" fontId="33" fillId="0" borderId="1" xfId="0" applyNumberFormat="1" applyFont="1" applyFill="1" applyBorder="1" applyAlignment="1">
      <alignment horizontal="center" vertical="center" wrapText="1"/>
    </xf>
    <xf numFmtId="4" fontId="33" fillId="0" borderId="8" xfId="0" applyNumberFormat="1" applyFont="1" applyFill="1" applyBorder="1" applyAlignment="1">
      <alignment horizontal="center" vertical="center" wrapText="1"/>
    </xf>
    <xf numFmtId="4" fontId="31" fillId="0" borderId="2" xfId="0" applyNumberFormat="1" applyFont="1" applyFill="1" applyBorder="1" applyAlignment="1">
      <alignment horizontal="center" vertical="center"/>
    </xf>
    <xf numFmtId="4" fontId="31" fillId="0" borderId="6" xfId="0" applyNumberFormat="1" applyFont="1" applyFill="1" applyBorder="1" applyAlignment="1">
      <alignment horizontal="center" vertical="center"/>
    </xf>
    <xf numFmtId="4" fontId="29" fillId="0" borderId="2" xfId="0" applyNumberFormat="1" applyFont="1" applyFill="1" applyBorder="1" applyAlignment="1">
      <alignment horizontal="center" vertical="center"/>
    </xf>
    <xf numFmtId="4" fontId="31" fillId="0" borderId="8" xfId="0" applyNumberFormat="1" applyFont="1" applyFill="1" applyBorder="1" applyAlignment="1">
      <alignment horizontal="center" vertical="center" wrapText="1"/>
    </xf>
    <xf numFmtId="4" fontId="31" fillId="0" borderId="10" xfId="0" applyNumberFormat="1" applyFont="1" applyFill="1" applyBorder="1" applyAlignment="1">
      <alignment horizontal="center" vertical="center"/>
    </xf>
    <xf numFmtId="4" fontId="29" fillId="0" borderId="8" xfId="0" applyNumberFormat="1" applyFont="1" applyFill="1" applyBorder="1" applyAlignment="1">
      <alignment horizontal="center" vertical="center" wrapText="1"/>
    </xf>
    <xf numFmtId="4" fontId="29" fillId="0" borderId="1" xfId="0" applyNumberFormat="1" applyFont="1" applyFill="1" applyBorder="1" applyAlignment="1">
      <alignment horizontal="center" vertical="center" wrapText="1"/>
    </xf>
    <xf numFmtId="4" fontId="29" fillId="0" borderId="4" xfId="0" applyNumberFormat="1" applyFont="1" applyFill="1" applyBorder="1" applyAlignment="1">
      <alignment horizontal="center" vertical="center" wrapText="1"/>
    </xf>
    <xf numFmtId="4" fontId="29" fillId="0" borderId="5" xfId="0" applyNumberFormat="1" applyFont="1" applyFill="1" applyBorder="1" applyAlignment="1">
      <alignment horizontal="center" vertical="center" wrapText="1"/>
    </xf>
    <xf numFmtId="4" fontId="31" fillId="0" borderId="4" xfId="0" applyNumberFormat="1" applyFont="1" applyFill="1" applyBorder="1" applyAlignment="1">
      <alignment horizontal="center" vertical="center" wrapText="1"/>
    </xf>
    <xf numFmtId="4" fontId="31" fillId="0" borderId="5" xfId="0" applyNumberFormat="1" applyFont="1" applyFill="1" applyBorder="1" applyAlignment="1">
      <alignment horizontal="center" vertical="center" wrapText="1"/>
    </xf>
    <xf numFmtId="164" fontId="31" fillId="0" borderId="2" xfId="0" applyNumberFormat="1" applyFont="1" applyFill="1" applyBorder="1" applyAlignment="1">
      <alignment horizontal="center" vertical="center" wrapText="1"/>
    </xf>
    <xf numFmtId="164" fontId="31" fillId="0" borderId="2" xfId="0" applyNumberFormat="1" applyFont="1" applyFill="1" applyBorder="1" applyAlignment="1">
      <alignment horizontal="center" vertical="center"/>
    </xf>
    <xf numFmtId="164" fontId="31" fillId="0" borderId="6" xfId="0" applyNumberFormat="1" applyFont="1" applyFill="1" applyBorder="1" applyAlignment="1">
      <alignment horizontal="center" vertical="center"/>
    </xf>
    <xf numFmtId="164" fontId="29" fillId="0" borderId="6" xfId="0" applyNumberFormat="1" applyFont="1" applyFill="1" applyBorder="1" applyAlignment="1">
      <alignment horizontal="center" vertical="center" wrapText="1"/>
    </xf>
    <xf numFmtId="164" fontId="29" fillId="0" borderId="8" xfId="0" applyNumberFormat="1" applyFont="1" applyFill="1" applyBorder="1" applyAlignment="1">
      <alignment horizontal="center" vertical="center" wrapText="1"/>
    </xf>
    <xf numFmtId="164" fontId="29" fillId="0" borderId="2" xfId="0" applyNumberFormat="1" applyFont="1" applyFill="1" applyBorder="1" applyAlignment="1">
      <alignment horizontal="center" vertical="center"/>
    </xf>
    <xf numFmtId="164" fontId="29" fillId="0" borderId="6" xfId="0" applyNumberFormat="1" applyFont="1" applyFill="1" applyBorder="1" applyAlignment="1">
      <alignment horizontal="center" vertical="center"/>
    </xf>
    <xf numFmtId="4" fontId="32" fillId="0" borderId="2" xfId="0" applyNumberFormat="1" applyFont="1" applyFill="1" applyBorder="1" applyAlignment="1">
      <alignment horizontal="center" vertical="center" wrapText="1"/>
    </xf>
    <xf numFmtId="4" fontId="33" fillId="0" borderId="2" xfId="0" applyNumberFormat="1" applyFont="1" applyFill="1" applyBorder="1" applyAlignment="1">
      <alignment horizontal="center" vertical="center" wrapText="1"/>
    </xf>
    <xf numFmtId="4" fontId="33" fillId="0" borderId="4" xfId="0" applyNumberFormat="1" applyFont="1" applyFill="1" applyBorder="1" applyAlignment="1">
      <alignment horizontal="center" vertical="center" wrapText="1"/>
    </xf>
    <xf numFmtId="0" fontId="32" fillId="0" borderId="6" xfId="0" applyFont="1" applyFill="1" applyBorder="1" applyAlignment="1">
      <alignment horizontal="center" vertical="center" wrapText="1"/>
    </xf>
    <xf numFmtId="0" fontId="33" fillId="0" borderId="6" xfId="0" applyFont="1" applyFill="1" applyBorder="1" applyAlignment="1">
      <alignment horizontal="center" vertical="center" wrapText="1"/>
    </xf>
    <xf numFmtId="0" fontId="33" fillId="0" borderId="2" xfId="0" applyFont="1" applyFill="1" applyBorder="1" applyAlignment="1">
      <alignment horizontal="left" vertical="center" wrapText="1"/>
    </xf>
    <xf numFmtId="0" fontId="29" fillId="0" borderId="6" xfId="0" applyFont="1" applyFill="1" applyBorder="1" applyAlignment="1">
      <alignment horizontal="center" vertical="top" wrapText="1"/>
    </xf>
    <xf numFmtId="49" fontId="31" fillId="0" borderId="2" xfId="0" applyNumberFormat="1" applyFont="1" applyFill="1" applyBorder="1" applyAlignment="1">
      <alignment horizontal="center" vertical="center" wrapText="1"/>
    </xf>
    <xf numFmtId="49" fontId="29" fillId="0" borderId="2" xfId="0" applyNumberFormat="1" applyFont="1" applyFill="1" applyBorder="1" applyAlignment="1">
      <alignment horizontal="center" vertical="center" wrapText="1"/>
    </xf>
    <xf numFmtId="0" fontId="31" fillId="0" borderId="2" xfId="0" applyFont="1" applyFill="1" applyBorder="1" applyAlignment="1">
      <alignment horizontal="left" vertical="top" wrapText="1"/>
    </xf>
    <xf numFmtId="0" fontId="31" fillId="0" borderId="6" xfId="0" applyFont="1" applyFill="1" applyBorder="1" applyAlignment="1">
      <alignment horizontal="center" vertical="top" wrapText="1"/>
    </xf>
    <xf numFmtId="0" fontId="31" fillId="0" borderId="7" xfId="0" applyFont="1" applyFill="1" applyBorder="1" applyAlignment="1">
      <alignment horizontal="center" vertical="center"/>
    </xf>
    <xf numFmtId="49" fontId="31" fillId="0" borderId="8" xfId="0" applyNumberFormat="1" applyFont="1" applyFill="1" applyBorder="1" applyAlignment="1">
      <alignment horizontal="center" vertical="top" wrapText="1"/>
    </xf>
    <xf numFmtId="0" fontId="31" fillId="0" borderId="8" xfId="0" applyFont="1" applyFill="1" applyBorder="1" applyAlignment="1">
      <alignment horizontal="center" vertical="top" wrapText="1"/>
    </xf>
    <xf numFmtId="0" fontId="31" fillId="0" borderId="2" xfId="0" applyFont="1" applyFill="1" applyBorder="1" applyAlignment="1">
      <alignment horizontal="center" vertical="center"/>
    </xf>
    <xf numFmtId="0" fontId="33" fillId="0" borderId="4" xfId="0" applyFont="1" applyFill="1" applyBorder="1" applyAlignment="1">
      <alignment horizontal="center" vertical="center" wrapText="1"/>
    </xf>
    <xf numFmtId="0" fontId="33" fillId="0" borderId="2" xfId="0" applyFont="1" applyFill="1" applyBorder="1" applyAlignment="1">
      <alignment horizontal="center" vertical="center" wrapText="1"/>
    </xf>
    <xf numFmtId="0" fontId="31" fillId="0" borderId="2" xfId="0" applyFont="1" applyFill="1" applyBorder="1" applyAlignment="1">
      <alignment vertical="center" wrapText="1"/>
    </xf>
    <xf numFmtId="0" fontId="31" fillId="0" borderId="4" xfId="0" applyFont="1" applyFill="1" applyBorder="1" applyAlignment="1">
      <alignment horizontal="center" vertical="center" wrapText="1"/>
    </xf>
    <xf numFmtId="0" fontId="29" fillId="0" borderId="2" xfId="0" applyFont="1" applyFill="1" applyBorder="1" applyAlignment="1">
      <alignment horizontal="left" vertical="top" wrapText="1"/>
    </xf>
    <xf numFmtId="3" fontId="29" fillId="0" borderId="13" xfId="0" applyNumberFormat="1" applyFont="1" applyFill="1" applyBorder="1" applyAlignment="1">
      <alignment horizontal="center" vertical="center" wrapText="1"/>
    </xf>
    <xf numFmtId="0" fontId="31" fillId="0" borderId="13" xfId="0" applyFont="1" applyFill="1" applyBorder="1" applyAlignment="1">
      <alignment horizontal="center" vertical="center" wrapText="1"/>
    </xf>
    <xf numFmtId="3" fontId="31" fillId="0" borderId="13" xfId="0" applyNumberFormat="1" applyFont="1" applyFill="1" applyBorder="1" applyAlignment="1">
      <alignment horizontal="center" vertical="center" wrapText="1"/>
    </xf>
    <xf numFmtId="0" fontId="29" fillId="0" borderId="13" xfId="0" applyFont="1" applyFill="1" applyBorder="1" applyAlignment="1">
      <alignment horizontal="center" vertical="center" wrapText="1"/>
    </xf>
    <xf numFmtId="0" fontId="32" fillId="0" borderId="2" xfId="0" applyFont="1" applyFill="1" applyBorder="1" applyAlignment="1">
      <alignment horizontal="left" vertical="center" wrapText="1"/>
    </xf>
    <xf numFmtId="0" fontId="29" fillId="0" borderId="2" xfId="0" applyFont="1" applyFill="1" applyBorder="1" applyAlignment="1">
      <alignment horizontal="center" vertical="center"/>
    </xf>
    <xf numFmtId="0" fontId="34" fillId="0" borderId="0" xfId="0" applyFont="1" applyFill="1" applyAlignment="1">
      <alignment horizontal="center"/>
    </xf>
    <xf numFmtId="0" fontId="35" fillId="0" borderId="0" xfId="0" applyFont="1" applyFill="1" applyAlignment="1">
      <alignment horizontal="centerContinuous" vertical="top" wrapText="1"/>
    </xf>
    <xf numFmtId="0" fontId="36" fillId="0" borderId="0" xfId="0" applyFont="1" applyFill="1"/>
    <xf numFmtId="0" fontId="37" fillId="0" borderId="0" xfId="0" applyFont="1" applyFill="1"/>
    <xf numFmtId="0" fontId="38" fillId="0" borderId="0" xfId="0" applyFont="1" applyFill="1"/>
    <xf numFmtId="0" fontId="39" fillId="0" borderId="0" xfId="0" applyFont="1" applyFill="1"/>
    <xf numFmtId="0" fontId="30" fillId="0" borderId="0" xfId="0" applyFont="1" applyFill="1"/>
    <xf numFmtId="0" fontId="31" fillId="0" borderId="1" xfId="0" applyFont="1" applyFill="1" applyBorder="1" applyAlignment="1">
      <alignment horizontal="justify" vertical="center" wrapText="1"/>
    </xf>
    <xf numFmtId="0" fontId="29" fillId="0" borderId="2" xfId="0" applyFont="1" applyFill="1" applyBorder="1" applyAlignment="1">
      <alignment horizontal="left" vertical="center" wrapText="1"/>
    </xf>
    <xf numFmtId="0" fontId="31" fillId="0" borderId="2" xfId="0" applyFont="1" applyFill="1" applyBorder="1" applyAlignment="1">
      <alignment horizontal="left" vertical="center" wrapText="1"/>
    </xf>
    <xf numFmtId="4" fontId="12" fillId="0" borderId="0" xfId="0" applyNumberFormat="1" applyFont="1" applyFill="1" applyAlignment="1">
      <alignment horizontal="right" vertical="center" wrapText="1"/>
    </xf>
    <xf numFmtId="0" fontId="13" fillId="0" borderId="0" xfId="0" applyFont="1" applyFill="1"/>
    <xf numFmtId="0" fontId="15" fillId="0" borderId="0" xfId="0" applyFont="1" applyFill="1"/>
    <xf numFmtId="49" fontId="6" fillId="0" borderId="0" xfId="0" applyNumberFormat="1" applyFont="1" applyFill="1" applyAlignment="1">
      <alignment horizontal="right" vertical="center" wrapText="1"/>
    </xf>
    <xf numFmtId="4" fontId="6" fillId="0" borderId="0" xfId="0" applyNumberFormat="1" applyFont="1" applyFill="1" applyAlignment="1">
      <alignment vertical="center" wrapText="1"/>
    </xf>
    <xf numFmtId="4" fontId="5" fillId="0" borderId="0" xfId="0" applyNumberFormat="1" applyFont="1" applyFill="1" applyAlignment="1">
      <alignment vertical="center" wrapText="1"/>
    </xf>
    <xf numFmtId="0" fontId="3" fillId="0" borderId="0" xfId="0" applyFont="1" applyFill="1" applyAlignment="1"/>
    <xf numFmtId="0" fontId="29" fillId="0" borderId="3" xfId="0" applyFont="1" applyFill="1" applyBorder="1" applyAlignment="1">
      <alignment horizontal="center" vertical="top" wrapText="1"/>
    </xf>
    <xf numFmtId="0" fontId="29" fillId="0" borderId="2" xfId="0" applyFont="1" applyFill="1" applyBorder="1" applyAlignment="1">
      <alignment horizontal="center" vertical="center" wrapText="1"/>
    </xf>
    <xf numFmtId="0" fontId="29" fillId="0" borderId="4" xfId="0" applyFont="1" applyFill="1" applyBorder="1" applyAlignment="1">
      <alignment vertical="top" wrapText="1"/>
    </xf>
    <xf numFmtId="49" fontId="29" fillId="0" borderId="1" xfId="0" applyNumberFormat="1" applyFont="1" applyFill="1" applyBorder="1" applyAlignment="1">
      <alignment horizontal="center" vertical="center" wrapText="1"/>
    </xf>
    <xf numFmtId="49" fontId="29" fillId="0" borderId="16" xfId="0" applyNumberFormat="1" applyFont="1" applyFill="1" applyBorder="1" applyAlignment="1">
      <alignment horizontal="center" vertical="center" wrapText="1"/>
    </xf>
    <xf numFmtId="4" fontId="29" fillId="0" borderId="1" xfId="0" applyNumberFormat="1" applyFont="1" applyFill="1" applyBorder="1" applyAlignment="1">
      <alignment horizontal="right" vertical="center" wrapText="1"/>
    </xf>
    <xf numFmtId="0" fontId="31" fillId="0" borderId="16" xfId="0" applyFont="1" applyFill="1" applyBorder="1" applyAlignment="1">
      <alignment horizontal="left" vertical="center" wrapText="1"/>
    </xf>
    <xf numFmtId="49" fontId="31" fillId="0" borderId="16" xfId="0" applyNumberFormat="1" applyFont="1" applyFill="1" applyBorder="1" applyAlignment="1">
      <alignment horizontal="center" vertical="center" wrapText="1"/>
    </xf>
    <xf numFmtId="4" fontId="31" fillId="0" borderId="16" xfId="0" applyNumberFormat="1" applyFont="1" applyFill="1" applyBorder="1" applyAlignment="1">
      <alignment horizontal="right" vertical="center" wrapText="1"/>
    </xf>
    <xf numFmtId="0" fontId="31" fillId="0" borderId="3" xfId="0" applyFont="1" applyFill="1" applyBorder="1" applyAlignment="1">
      <alignment horizontal="left" vertical="center" wrapText="1"/>
    </xf>
    <xf numFmtId="49" fontId="31" fillId="0" borderId="3" xfId="0" applyNumberFormat="1" applyFont="1" applyFill="1" applyBorder="1" applyAlignment="1">
      <alignment horizontal="center" vertical="center" wrapText="1"/>
    </xf>
    <xf numFmtId="4" fontId="31" fillId="0" borderId="3" xfId="0" applyNumberFormat="1" applyFont="1" applyFill="1" applyBorder="1" applyAlignment="1">
      <alignment vertical="center" wrapText="1"/>
    </xf>
    <xf numFmtId="4" fontId="31" fillId="0" borderId="16" xfId="0" applyNumberFormat="1" applyFont="1" applyFill="1" applyBorder="1" applyAlignment="1">
      <alignment vertical="center" wrapText="1"/>
    </xf>
    <xf numFmtId="4" fontId="31" fillId="0" borderId="3" xfId="0" applyNumberFormat="1" applyFont="1" applyFill="1" applyBorder="1" applyAlignment="1">
      <alignment horizontal="right" vertical="center" wrapText="1"/>
    </xf>
    <xf numFmtId="0" fontId="29" fillId="0" borderId="20" xfId="0" applyFont="1" applyFill="1" applyBorder="1" applyAlignment="1">
      <alignment horizontal="center" vertical="center" wrapText="1"/>
    </xf>
    <xf numFmtId="4" fontId="29" fillId="0" borderId="20" xfId="0" applyNumberFormat="1" applyFont="1" applyFill="1" applyBorder="1" applyAlignment="1">
      <alignment horizontal="right" vertical="center" wrapText="1"/>
    </xf>
    <xf numFmtId="49" fontId="29" fillId="0" borderId="18" xfId="0" applyNumberFormat="1" applyFont="1" applyFill="1" applyBorder="1" applyAlignment="1">
      <alignment horizontal="center" vertical="center" wrapText="1"/>
    </xf>
    <xf numFmtId="4" fontId="29" fillId="0" borderId="3" xfId="0" applyNumberFormat="1" applyFont="1" applyFill="1" applyBorder="1" applyAlignment="1">
      <alignment horizontal="right" vertical="center" wrapText="1"/>
    </xf>
    <xf numFmtId="49" fontId="29" fillId="0" borderId="20" xfId="0" applyNumberFormat="1" applyFont="1" applyFill="1" applyBorder="1" applyAlignment="1">
      <alignment horizontal="center" vertical="center" wrapText="1"/>
    </xf>
    <xf numFmtId="0" fontId="40" fillId="0" borderId="21" xfId="0" applyFont="1" applyFill="1" applyBorder="1"/>
    <xf numFmtId="4" fontId="29" fillId="0" borderId="21" xfId="0" applyNumberFormat="1" applyFont="1" applyFill="1" applyBorder="1" applyAlignment="1">
      <alignment horizontal="right" vertical="center" wrapText="1"/>
    </xf>
    <xf numFmtId="0" fontId="29" fillId="0" borderId="16" xfId="0" applyFont="1" applyFill="1" applyBorder="1" applyAlignment="1">
      <alignment horizontal="center" vertical="center"/>
    </xf>
    <xf numFmtId="4" fontId="29" fillId="0" borderId="16" xfId="0" applyNumberFormat="1" applyFont="1" applyFill="1" applyBorder="1" applyAlignment="1">
      <alignment horizontal="right" vertical="center" wrapText="1"/>
    </xf>
    <xf numFmtId="4" fontId="29" fillId="0" borderId="18" xfId="0" applyNumberFormat="1" applyFont="1" applyFill="1" applyBorder="1" applyAlignment="1">
      <alignment horizontal="right" vertical="center" wrapText="1"/>
    </xf>
    <xf numFmtId="0" fontId="31" fillId="0" borderId="11" xfId="0" applyFont="1" applyFill="1" applyBorder="1" applyAlignment="1">
      <alignment horizontal="left" vertical="center" wrapText="1"/>
    </xf>
    <xf numFmtId="0" fontId="31" fillId="0" borderId="16" xfId="0" applyFont="1" applyFill="1" applyBorder="1" applyAlignment="1">
      <alignment horizontal="center" vertical="center" wrapText="1"/>
    </xf>
    <xf numFmtId="49" fontId="31" fillId="0" borderId="24" xfId="0" applyNumberFormat="1" applyFont="1" applyFill="1" applyBorder="1" applyAlignment="1">
      <alignment horizontal="center" vertical="center" wrapText="1"/>
    </xf>
    <xf numFmtId="49" fontId="31" fillId="0" borderId="18" xfId="0" applyNumberFormat="1" applyFont="1" applyFill="1" applyBorder="1" applyAlignment="1">
      <alignment horizontal="center" vertical="center" wrapText="1"/>
    </xf>
    <xf numFmtId="0" fontId="31" fillId="0" borderId="18" xfId="0" applyFont="1" applyFill="1" applyBorder="1" applyAlignment="1">
      <alignment horizontal="center" vertical="center" wrapText="1"/>
    </xf>
    <xf numFmtId="49" fontId="31" fillId="0" borderId="19" xfId="0" applyNumberFormat="1" applyFont="1" applyFill="1" applyBorder="1" applyAlignment="1">
      <alignment horizontal="center" vertical="center" wrapText="1"/>
    </xf>
    <xf numFmtId="4" fontId="33" fillId="0" borderId="18" xfId="0" applyNumberFormat="1" applyFont="1" applyFill="1" applyBorder="1" applyAlignment="1">
      <alignment horizontal="right" vertical="center" wrapText="1"/>
    </xf>
    <xf numFmtId="2" fontId="36" fillId="0" borderId="18" xfId="0" applyNumberFormat="1" applyFont="1" applyFill="1" applyBorder="1" applyAlignment="1">
      <alignment horizontal="right" vertical="center"/>
    </xf>
    <xf numFmtId="0" fontId="31" fillId="0" borderId="21" xfId="0" applyFont="1" applyFill="1" applyBorder="1" applyAlignment="1">
      <alignment horizontal="justify" vertical="center" wrapText="1"/>
    </xf>
    <xf numFmtId="49" fontId="31" fillId="0" borderId="21" xfId="0" applyNumberFormat="1" applyFont="1" applyFill="1" applyBorder="1" applyAlignment="1">
      <alignment horizontal="justify" vertical="center" wrapText="1"/>
    </xf>
    <xf numFmtId="0" fontId="31" fillId="0" borderId="21" xfId="0" applyFont="1" applyFill="1" applyBorder="1" applyAlignment="1">
      <alignment horizontal="center" vertical="center" wrapText="1"/>
    </xf>
    <xf numFmtId="49" fontId="31" fillId="0" borderId="22" xfId="0" applyNumberFormat="1" applyFont="1" applyFill="1" applyBorder="1" applyAlignment="1">
      <alignment horizontal="center" vertical="center" wrapText="1"/>
    </xf>
    <xf numFmtId="4" fontId="33" fillId="0" borderId="21" xfId="0" applyNumberFormat="1" applyFont="1" applyFill="1" applyBorder="1" applyAlignment="1">
      <alignment horizontal="right" vertical="center" wrapText="1"/>
    </xf>
    <xf numFmtId="49" fontId="31" fillId="0" borderId="4" xfId="0" applyNumberFormat="1" applyFont="1" applyFill="1" applyBorder="1" applyAlignment="1">
      <alignment horizontal="center" vertical="center" wrapText="1"/>
    </xf>
    <xf numFmtId="49" fontId="31" fillId="0" borderId="5" xfId="0" applyNumberFormat="1" applyFont="1" applyFill="1" applyBorder="1" applyAlignment="1">
      <alignment horizontal="center" vertical="center" shrinkToFit="1"/>
    </xf>
    <xf numFmtId="4" fontId="33" fillId="0" borderId="4" xfId="0" applyNumberFormat="1" applyFont="1" applyFill="1" applyBorder="1" applyAlignment="1">
      <alignment horizontal="right" vertical="center" wrapText="1"/>
    </xf>
    <xf numFmtId="0" fontId="36" fillId="0" borderId="4" xfId="0" applyFont="1" applyFill="1" applyBorder="1" applyAlignment="1">
      <alignment horizontal="right"/>
    </xf>
    <xf numFmtId="0" fontId="31" fillId="0" borderId="1" xfId="0" applyFont="1" applyFill="1" applyBorder="1" applyAlignment="1">
      <alignment horizontal="center" vertical="center" wrapText="1"/>
    </xf>
    <xf numFmtId="49" fontId="31" fillId="0" borderId="1" xfId="0" applyNumberFormat="1" applyFont="1" applyFill="1" applyBorder="1" applyAlignment="1">
      <alignment horizontal="center" vertical="center" wrapText="1"/>
    </xf>
    <xf numFmtId="49" fontId="31" fillId="0" borderId="8" xfId="0" applyNumberFormat="1" applyFont="1" applyFill="1" applyBorder="1" applyAlignment="1">
      <alignment horizontal="center" vertical="center" shrinkToFit="1"/>
    </xf>
    <xf numFmtId="4" fontId="33" fillId="0" borderId="1" xfId="0" applyNumberFormat="1" applyFont="1" applyFill="1" applyBorder="1" applyAlignment="1">
      <alignment horizontal="right" vertical="center" wrapText="1"/>
    </xf>
    <xf numFmtId="49" fontId="31" fillId="0" borderId="19" xfId="0" applyNumberFormat="1" applyFont="1" applyFill="1" applyBorder="1" applyAlignment="1">
      <alignment horizontal="center" vertical="center" shrinkToFit="1"/>
    </xf>
    <xf numFmtId="0" fontId="36" fillId="0" borderId="18" xfId="0" applyFont="1" applyFill="1" applyBorder="1" applyAlignment="1">
      <alignment horizontal="right"/>
    </xf>
    <xf numFmtId="49" fontId="31" fillId="0" borderId="21" xfId="0" applyNumberFormat="1" applyFont="1" applyFill="1" applyBorder="1" applyAlignment="1">
      <alignment horizontal="center" vertical="center" wrapText="1"/>
    </xf>
    <xf numFmtId="49" fontId="31" fillId="0" borderId="22" xfId="0" applyNumberFormat="1" applyFont="1" applyFill="1" applyBorder="1" applyAlignment="1">
      <alignment horizontal="center" vertical="center" shrinkToFit="1"/>
    </xf>
    <xf numFmtId="4" fontId="32" fillId="0" borderId="16" xfId="0" applyNumberFormat="1" applyFont="1" applyFill="1" applyBorder="1" applyAlignment="1">
      <alignment horizontal="right" vertical="center" wrapText="1"/>
    </xf>
    <xf numFmtId="4" fontId="29" fillId="0" borderId="16" xfId="0" applyNumberFormat="1" applyFont="1" applyFill="1" applyBorder="1" applyAlignment="1">
      <alignment horizontal="right" vertical="center"/>
    </xf>
    <xf numFmtId="4" fontId="32" fillId="0" borderId="18" xfId="0" applyNumberFormat="1" applyFont="1" applyFill="1" applyBorder="1" applyAlignment="1">
      <alignment horizontal="right" vertical="center" wrapText="1"/>
    </xf>
    <xf numFmtId="49" fontId="29" fillId="0" borderId="21" xfId="0" applyNumberFormat="1" applyFont="1" applyFill="1" applyBorder="1" applyAlignment="1">
      <alignment horizontal="center" vertical="center" wrapText="1"/>
    </xf>
    <xf numFmtId="0" fontId="29" fillId="0" borderId="21" xfId="0" applyFont="1" applyFill="1" applyBorder="1" applyAlignment="1">
      <alignment horizontal="center" vertical="center" wrapText="1"/>
    </xf>
    <xf numFmtId="4" fontId="32" fillId="0" borderId="21" xfId="0" applyNumberFormat="1" applyFont="1" applyFill="1" applyBorder="1" applyAlignment="1">
      <alignment horizontal="right" vertical="center" wrapText="1"/>
    </xf>
    <xf numFmtId="49" fontId="31" fillId="0" borderId="5" xfId="0" applyNumberFormat="1" applyFont="1" applyFill="1" applyBorder="1" applyAlignment="1">
      <alignment horizontal="center" vertical="center" wrapText="1"/>
    </xf>
    <xf numFmtId="4" fontId="31" fillId="0" borderId="4" xfId="0" applyNumberFormat="1" applyFont="1" applyFill="1" applyBorder="1" applyAlignment="1">
      <alignment horizontal="right" vertical="center" wrapText="1"/>
    </xf>
    <xf numFmtId="49" fontId="31" fillId="0" borderId="6" xfId="0" applyNumberFormat="1" applyFont="1" applyFill="1" applyBorder="1" applyAlignment="1">
      <alignment horizontal="center" vertical="center" shrinkToFit="1"/>
    </xf>
    <xf numFmtId="4" fontId="31" fillId="0" borderId="2" xfId="0" applyNumberFormat="1" applyFont="1" applyFill="1" applyBorder="1" applyAlignment="1">
      <alignment horizontal="right" vertical="center" wrapText="1"/>
    </xf>
    <xf numFmtId="4" fontId="31" fillId="0" borderId="21" xfId="0" applyNumberFormat="1" applyFont="1" applyFill="1" applyBorder="1" applyAlignment="1">
      <alignment horizontal="right" vertical="center" wrapText="1"/>
    </xf>
    <xf numFmtId="4" fontId="33" fillId="0" borderId="2" xfId="0" applyNumberFormat="1" applyFont="1" applyFill="1" applyBorder="1" applyAlignment="1">
      <alignment horizontal="right" vertical="center" wrapText="1"/>
    </xf>
    <xf numFmtId="0" fontId="36" fillId="0" borderId="2" xfId="0" applyFont="1" applyFill="1" applyBorder="1" applyAlignment="1">
      <alignment horizontal="right" vertical="center"/>
    </xf>
    <xf numFmtId="0" fontId="36" fillId="0" borderId="2" xfId="0" applyFont="1" applyFill="1" applyBorder="1" applyAlignment="1">
      <alignment horizontal="right"/>
    </xf>
    <xf numFmtId="0" fontId="36" fillId="0" borderId="21" xfId="0" applyFont="1" applyFill="1" applyBorder="1" applyAlignment="1">
      <alignment horizontal="center" vertical="center"/>
    </xf>
    <xf numFmtId="4" fontId="36" fillId="0" borderId="18" xfId="0" applyNumberFormat="1" applyFont="1" applyFill="1" applyBorder="1" applyAlignment="1">
      <alignment horizontal="right"/>
    </xf>
    <xf numFmtId="0" fontId="36" fillId="0" borderId="2" xfId="0" applyFont="1" applyFill="1" applyBorder="1"/>
    <xf numFmtId="4" fontId="31" fillId="0" borderId="2" xfId="0" applyNumberFormat="1" applyFont="1" applyFill="1" applyBorder="1" applyAlignment="1">
      <alignment horizontal="right" vertical="center"/>
    </xf>
    <xf numFmtId="0" fontId="29" fillId="0" borderId="16" xfId="0" applyFont="1" applyFill="1" applyBorder="1" applyAlignment="1">
      <alignment horizontal="center" vertical="center" wrapText="1"/>
    </xf>
    <xf numFmtId="0" fontId="33" fillId="0" borderId="16" xfId="0" applyFont="1" applyFill="1" applyBorder="1" applyAlignment="1">
      <alignment horizontal="left" vertical="center" wrapText="1"/>
    </xf>
    <xf numFmtId="49" fontId="31" fillId="0" borderId="24" xfId="0" applyNumberFormat="1" applyFont="1" applyFill="1" applyBorder="1" applyAlignment="1">
      <alignment horizontal="center" vertical="center" shrinkToFit="1"/>
    </xf>
    <xf numFmtId="4" fontId="33" fillId="0" borderId="16" xfId="0" applyNumberFormat="1" applyFont="1" applyFill="1" applyBorder="1" applyAlignment="1">
      <alignment horizontal="right" vertical="center" wrapText="1"/>
    </xf>
    <xf numFmtId="0" fontId="33" fillId="0" borderId="17" xfId="0" applyFont="1" applyFill="1" applyBorder="1" applyAlignment="1">
      <alignment horizontal="left" vertical="center" wrapText="1"/>
    </xf>
    <xf numFmtId="0" fontId="41" fillId="0" borderId="0" xfId="0" applyFont="1" applyFill="1" applyAlignment="1">
      <alignment horizontal="center" vertical="center" wrapText="1"/>
    </xf>
    <xf numFmtId="4" fontId="29" fillId="0" borderId="16" xfId="0" applyNumberFormat="1" applyFont="1" applyFill="1" applyBorder="1" applyAlignment="1">
      <alignment vertical="center"/>
    </xf>
    <xf numFmtId="0" fontId="29" fillId="0" borderId="4" xfId="0" applyFont="1" applyFill="1" applyBorder="1" applyAlignment="1">
      <alignment horizontal="center" vertical="center" wrapText="1"/>
    </xf>
    <xf numFmtId="49" fontId="29" fillId="0" borderId="4" xfId="0" applyNumberFormat="1" applyFont="1" applyFill="1" applyBorder="1" applyAlignment="1">
      <alignment horizontal="center" vertical="center" wrapText="1"/>
    </xf>
    <xf numFmtId="49" fontId="29" fillId="0" borderId="5" xfId="0" applyNumberFormat="1" applyFont="1" applyFill="1" applyBorder="1" applyAlignment="1">
      <alignment horizontal="center" vertical="center" shrinkToFit="1"/>
    </xf>
    <xf numFmtId="4" fontId="32" fillId="0" borderId="4" xfId="0" applyNumberFormat="1" applyFont="1" applyFill="1" applyBorder="1" applyAlignment="1">
      <alignment horizontal="right" vertical="center" wrapText="1"/>
    </xf>
    <xf numFmtId="0" fontId="40" fillId="0" borderId="3" xfId="0" applyFont="1" applyFill="1" applyBorder="1" applyAlignment="1">
      <alignment horizontal="right"/>
    </xf>
    <xf numFmtId="0" fontId="40" fillId="0" borderId="18" xfId="0" applyFont="1" applyFill="1" applyBorder="1" applyAlignment="1">
      <alignment horizontal="right"/>
    </xf>
    <xf numFmtId="49" fontId="29" fillId="0" borderId="6" xfId="0" applyNumberFormat="1" applyFont="1" applyFill="1" applyBorder="1" applyAlignment="1">
      <alignment horizontal="center" vertical="center" shrinkToFit="1"/>
    </xf>
    <xf numFmtId="4" fontId="32" fillId="0" borderId="2" xfId="0" applyNumberFormat="1" applyFont="1" applyFill="1" applyBorder="1" applyAlignment="1">
      <alignment horizontal="right" vertical="center" wrapText="1"/>
    </xf>
    <xf numFmtId="0" fontId="40" fillId="0" borderId="21" xfId="0" applyFont="1" applyFill="1" applyBorder="1" applyAlignment="1">
      <alignment horizontal="center" vertical="center"/>
    </xf>
    <xf numFmtId="49" fontId="29" fillId="0" borderId="23" xfId="0" applyNumberFormat="1" applyFont="1" applyFill="1" applyBorder="1" applyAlignment="1">
      <alignment horizontal="center" vertical="center" shrinkToFit="1"/>
    </xf>
    <xf numFmtId="4" fontId="32" fillId="0" borderId="20" xfId="0" applyNumberFormat="1" applyFont="1" applyFill="1" applyBorder="1" applyAlignment="1">
      <alignment horizontal="right" vertical="center" wrapText="1"/>
    </xf>
    <xf numFmtId="49" fontId="29" fillId="0" borderId="17" xfId="0" applyNumberFormat="1" applyFont="1" applyFill="1" applyBorder="1" applyAlignment="1">
      <alignment horizontal="center" vertical="center" wrapText="1"/>
    </xf>
    <xf numFmtId="4" fontId="32" fillId="0" borderId="3" xfId="0" applyNumberFormat="1" applyFont="1" applyFill="1" applyBorder="1" applyAlignment="1">
      <alignment horizontal="right" vertical="center" wrapText="1"/>
    </xf>
    <xf numFmtId="0" fontId="29" fillId="0" borderId="18" xfId="0" applyFont="1" applyFill="1" applyBorder="1" applyAlignment="1">
      <alignment horizontal="center" vertical="center" wrapText="1"/>
    </xf>
    <xf numFmtId="0" fontId="29" fillId="0" borderId="20" xfId="0" applyFont="1" applyFill="1" applyBorder="1" applyAlignment="1">
      <alignment horizontal="left" vertical="center" wrapText="1"/>
    </xf>
    <xf numFmtId="49" fontId="29" fillId="0" borderId="20" xfId="0" applyNumberFormat="1" applyFont="1" applyFill="1" applyBorder="1" applyAlignment="1">
      <alignment horizontal="center" vertical="center"/>
    </xf>
    <xf numFmtId="49" fontId="29" fillId="0" borderId="23" xfId="0" applyNumberFormat="1" applyFont="1" applyFill="1" applyBorder="1" applyAlignment="1">
      <alignment horizontal="center" vertical="center" wrapText="1"/>
    </xf>
    <xf numFmtId="0" fontId="29" fillId="0" borderId="16" xfId="0" applyFont="1" applyFill="1" applyBorder="1" applyAlignment="1">
      <alignment horizontal="left" vertical="center" wrapText="1"/>
    </xf>
    <xf numFmtId="49" fontId="29" fillId="0" borderId="16" xfId="0" applyNumberFormat="1" applyFont="1" applyFill="1" applyBorder="1" applyAlignment="1">
      <alignment horizontal="center" vertical="center"/>
    </xf>
    <xf numFmtId="49" fontId="29" fillId="0" borderId="24" xfId="0" applyNumberFormat="1" applyFont="1" applyFill="1" applyBorder="1" applyAlignment="1">
      <alignment horizontal="center" vertical="center" wrapText="1"/>
    </xf>
    <xf numFmtId="0" fontId="29" fillId="0" borderId="20" xfId="0" applyFont="1" applyFill="1" applyBorder="1" applyAlignment="1">
      <alignment horizontal="center" vertical="center"/>
    </xf>
    <xf numFmtId="49" fontId="29" fillId="0" borderId="17" xfId="0" applyNumberFormat="1" applyFont="1" applyFill="1" applyBorder="1" applyAlignment="1">
      <alignment horizontal="center" vertical="center"/>
    </xf>
    <xf numFmtId="49" fontId="29" fillId="0" borderId="21" xfId="0" applyNumberFormat="1" applyFont="1" applyFill="1" applyBorder="1" applyAlignment="1">
      <alignment horizontal="center" vertical="center"/>
    </xf>
    <xf numFmtId="0" fontId="31" fillId="0" borderId="26" xfId="0" applyFont="1" applyFill="1" applyBorder="1" applyAlignment="1">
      <alignment horizontal="left" vertical="center" wrapText="1"/>
    </xf>
    <xf numFmtId="0" fontId="36" fillId="0" borderId="20" xfId="0" applyFont="1" applyFill="1" applyBorder="1" applyAlignment="1">
      <alignment horizontal="center" vertical="center"/>
    </xf>
    <xf numFmtId="49" fontId="31" fillId="0" borderId="20" xfId="0" applyNumberFormat="1" applyFont="1" applyFill="1" applyBorder="1" applyAlignment="1">
      <alignment horizontal="center" vertical="center" wrapText="1"/>
    </xf>
    <xf numFmtId="0" fontId="31" fillId="0" borderId="20" xfId="0" applyFont="1" applyFill="1" applyBorder="1" applyAlignment="1">
      <alignment horizontal="center" vertical="center" wrapText="1"/>
    </xf>
    <xf numFmtId="4" fontId="31" fillId="0" borderId="16" xfId="0" applyNumberFormat="1" applyFont="1" applyFill="1" applyBorder="1" applyAlignment="1">
      <alignment horizontal="right" vertical="center"/>
    </xf>
    <xf numFmtId="0" fontId="31" fillId="0" borderId="4" xfId="0" applyFont="1" applyFill="1" applyBorder="1" applyAlignment="1">
      <alignment horizontal="center" vertical="center"/>
    </xf>
    <xf numFmtId="49" fontId="31" fillId="0" borderId="4" xfId="0" applyNumberFormat="1" applyFont="1" applyFill="1" applyBorder="1" applyAlignment="1">
      <alignment horizontal="center" vertical="center"/>
    </xf>
    <xf numFmtId="49" fontId="31" fillId="0" borderId="2" xfId="0" applyNumberFormat="1" applyFont="1" applyFill="1" applyBorder="1" applyAlignment="1">
      <alignment horizontal="center" vertical="center"/>
    </xf>
    <xf numFmtId="49" fontId="31" fillId="0" borderId="6" xfId="0" applyNumberFormat="1" applyFont="1" applyFill="1" applyBorder="1" applyAlignment="1">
      <alignment horizontal="center" vertical="center" wrapText="1"/>
    </xf>
    <xf numFmtId="0" fontId="31" fillId="0" borderId="1" xfId="0" applyFont="1" applyFill="1" applyBorder="1" applyAlignment="1">
      <alignment horizontal="center" vertical="center"/>
    </xf>
    <xf numFmtId="49" fontId="31" fillId="0" borderId="1" xfId="0" applyNumberFormat="1" applyFont="1" applyFill="1" applyBorder="1" applyAlignment="1">
      <alignment horizontal="center" vertical="center"/>
    </xf>
    <xf numFmtId="49" fontId="31" fillId="0" borderId="8" xfId="0" applyNumberFormat="1" applyFont="1" applyFill="1" applyBorder="1" applyAlignment="1">
      <alignment horizontal="center" vertical="center" wrapText="1"/>
    </xf>
    <xf numFmtId="0" fontId="31" fillId="0" borderId="18" xfId="0" applyFont="1" applyFill="1" applyBorder="1" applyAlignment="1">
      <alignment horizontal="center" vertical="center"/>
    </xf>
    <xf numFmtId="49" fontId="31" fillId="0" borderId="18" xfId="0" applyNumberFormat="1" applyFont="1" applyFill="1" applyBorder="1" applyAlignment="1">
      <alignment horizontal="center" vertical="center"/>
    </xf>
    <xf numFmtId="0" fontId="31" fillId="0" borderId="21" xfId="0" applyFont="1" applyFill="1" applyBorder="1" applyAlignment="1">
      <alignment horizontal="center" vertical="center"/>
    </xf>
    <xf numFmtId="49" fontId="31" fillId="0" borderId="21" xfId="0" applyNumberFormat="1" applyFont="1" applyFill="1" applyBorder="1" applyAlignment="1">
      <alignment horizontal="center" vertical="center"/>
    </xf>
    <xf numFmtId="4" fontId="31" fillId="0" borderId="18" xfId="0" applyNumberFormat="1" applyFont="1" applyFill="1" applyBorder="1" applyAlignment="1">
      <alignment vertical="center" wrapText="1"/>
    </xf>
    <xf numFmtId="0" fontId="36" fillId="0" borderId="18" xfId="0" applyFont="1" applyFill="1" applyBorder="1"/>
    <xf numFmtId="4" fontId="33" fillId="0" borderId="18" xfId="0" applyNumberFormat="1" applyFont="1" applyFill="1" applyBorder="1" applyAlignment="1">
      <alignment vertical="center" wrapText="1"/>
    </xf>
    <xf numFmtId="4" fontId="31" fillId="0" borderId="2" xfId="0" applyNumberFormat="1" applyFont="1" applyFill="1" applyBorder="1" applyAlignment="1">
      <alignment vertical="center" wrapText="1"/>
    </xf>
    <xf numFmtId="4" fontId="33" fillId="0" borderId="2" xfId="0" applyNumberFormat="1" applyFont="1" applyFill="1" applyBorder="1" applyAlignment="1">
      <alignment vertical="center" wrapText="1"/>
    </xf>
    <xf numFmtId="0" fontId="36" fillId="0" borderId="2" xfId="0" applyFont="1" applyFill="1" applyBorder="1" applyAlignment="1"/>
    <xf numFmtId="4" fontId="31" fillId="0" borderId="1" xfId="0" applyNumberFormat="1" applyFont="1" applyFill="1" applyBorder="1" applyAlignment="1">
      <alignment vertical="center" wrapText="1"/>
    </xf>
    <xf numFmtId="4" fontId="33" fillId="0" borderId="1" xfId="0" applyNumberFormat="1" applyFont="1" applyFill="1" applyBorder="1" applyAlignment="1">
      <alignment vertical="center" wrapText="1"/>
    </xf>
    <xf numFmtId="0" fontId="31" fillId="0" borderId="16" xfId="0" applyFont="1" applyFill="1" applyBorder="1" applyAlignment="1">
      <alignment horizontal="center" vertical="center"/>
    </xf>
    <xf numFmtId="49" fontId="31" fillId="0" borderId="16" xfId="0" applyNumberFormat="1" applyFont="1" applyFill="1" applyBorder="1" applyAlignment="1">
      <alignment horizontal="center" vertical="center"/>
    </xf>
    <xf numFmtId="4" fontId="33" fillId="0" borderId="21" xfId="0" applyNumberFormat="1" applyFont="1" applyFill="1" applyBorder="1" applyAlignment="1">
      <alignment vertical="center" wrapText="1"/>
    </xf>
    <xf numFmtId="0" fontId="40" fillId="0" borderId="16" xfId="0" applyFont="1" applyFill="1" applyBorder="1" applyAlignment="1">
      <alignment horizontal="center" vertical="center"/>
    </xf>
    <xf numFmtId="0" fontId="29" fillId="0" borderId="18" xfId="0" applyFont="1" applyFill="1" applyBorder="1" applyAlignment="1">
      <alignment horizontal="center" vertical="center"/>
    </xf>
    <xf numFmtId="49" fontId="29" fillId="0" borderId="18" xfId="0" applyNumberFormat="1" applyFont="1" applyFill="1" applyBorder="1" applyAlignment="1">
      <alignment horizontal="center" vertical="center"/>
    </xf>
    <xf numFmtId="4" fontId="32" fillId="0" borderId="18" xfId="0" applyNumberFormat="1" applyFont="1" applyFill="1" applyBorder="1" applyAlignment="1">
      <alignment vertical="center" wrapText="1"/>
    </xf>
    <xf numFmtId="0" fontId="29" fillId="0" borderId="21" xfId="0" applyFont="1" applyFill="1" applyBorder="1" applyAlignment="1">
      <alignment horizontal="center" vertical="center"/>
    </xf>
    <xf numFmtId="4" fontId="32" fillId="0" borderId="21" xfId="0" applyNumberFormat="1" applyFont="1" applyFill="1" applyBorder="1" applyAlignment="1">
      <alignment vertical="center" wrapText="1"/>
    </xf>
    <xf numFmtId="0" fontId="29" fillId="0" borderId="16" xfId="0" applyFont="1" applyFill="1" applyBorder="1"/>
    <xf numFmtId="4" fontId="33" fillId="0" borderId="4" xfId="0" applyNumberFormat="1" applyFont="1" applyFill="1" applyBorder="1" applyAlignment="1">
      <alignment vertical="center" wrapText="1"/>
    </xf>
    <xf numFmtId="0" fontId="36" fillId="0" borderId="4" xfId="0" applyFont="1" applyFill="1" applyBorder="1"/>
    <xf numFmtId="0" fontId="31" fillId="0" borderId="6" xfId="0" applyFont="1" applyFill="1" applyBorder="1" applyAlignment="1">
      <alignment horizontal="center" vertical="center"/>
    </xf>
    <xf numFmtId="0" fontId="31" fillId="0" borderId="22" xfId="0" applyFont="1" applyFill="1" applyBorder="1" applyAlignment="1">
      <alignment horizontal="center" vertical="center"/>
    </xf>
    <xf numFmtId="49" fontId="29" fillId="0" borderId="17" xfId="0" applyNumberFormat="1" applyFont="1" applyFill="1" applyBorder="1" applyAlignment="1">
      <alignment horizontal="left" vertical="center" wrapText="1"/>
    </xf>
    <xf numFmtId="49" fontId="29" fillId="0" borderId="3" xfId="0" applyNumberFormat="1" applyFont="1" applyFill="1" applyBorder="1" applyAlignment="1">
      <alignment horizontal="center" vertical="center"/>
    </xf>
    <xf numFmtId="0" fontId="29" fillId="0" borderId="3" xfId="0" applyFont="1" applyFill="1" applyBorder="1" applyAlignment="1">
      <alignment horizontal="center" vertical="center"/>
    </xf>
    <xf numFmtId="4" fontId="32" fillId="0" borderId="17" xfId="0" applyNumberFormat="1" applyFont="1" applyFill="1" applyBorder="1" applyAlignment="1">
      <alignment horizontal="right" vertical="center" wrapText="1"/>
    </xf>
    <xf numFmtId="0" fontId="29" fillId="0" borderId="4" xfId="0" applyFont="1" applyFill="1" applyBorder="1" applyAlignment="1">
      <alignment horizontal="left" vertical="center" wrapText="1"/>
    </xf>
    <xf numFmtId="49" fontId="29" fillId="0" borderId="4" xfId="0" applyNumberFormat="1" applyFont="1" applyFill="1" applyBorder="1" applyAlignment="1">
      <alignment horizontal="center" vertical="center"/>
    </xf>
    <xf numFmtId="0" fontId="29" fillId="0" borderId="4" xfId="0" applyFont="1" applyFill="1" applyBorder="1" applyAlignment="1">
      <alignment horizontal="center" vertical="center"/>
    </xf>
    <xf numFmtId="49" fontId="32" fillId="0" borderId="20" xfId="0" applyNumberFormat="1" applyFont="1" applyFill="1" applyBorder="1" applyAlignment="1">
      <alignment horizontal="center" vertical="center" wrapText="1"/>
    </xf>
    <xf numFmtId="49" fontId="29" fillId="0" borderId="23" xfId="0" applyNumberFormat="1" applyFont="1" applyFill="1" applyBorder="1" applyAlignment="1">
      <alignment horizontal="center" vertical="center"/>
    </xf>
    <xf numFmtId="49" fontId="29" fillId="0" borderId="24" xfId="0" applyNumberFormat="1" applyFont="1" applyFill="1" applyBorder="1" applyAlignment="1">
      <alignment horizontal="center" vertical="center"/>
    </xf>
    <xf numFmtId="0" fontId="33" fillId="0" borderId="18" xfId="0" applyFont="1" applyFill="1" applyBorder="1" applyAlignment="1">
      <alignment horizontal="center" vertical="center" wrapText="1"/>
    </xf>
    <xf numFmtId="4" fontId="31" fillId="0" borderId="18" xfId="0" applyNumberFormat="1" applyFont="1" applyFill="1" applyBorder="1" applyAlignment="1">
      <alignment horizontal="right" vertical="center" wrapText="1"/>
    </xf>
    <xf numFmtId="0" fontId="33" fillId="0" borderId="1" xfId="0" applyFont="1" applyFill="1" applyBorder="1" applyAlignment="1">
      <alignment horizontal="center" vertical="center" wrapText="1"/>
    </xf>
    <xf numFmtId="4" fontId="33" fillId="0" borderId="3" xfId="0" applyNumberFormat="1" applyFont="1" applyFill="1" applyBorder="1" applyAlignment="1">
      <alignment vertical="center" wrapText="1"/>
    </xf>
    <xf numFmtId="4" fontId="31" fillId="0" borderId="4" xfId="0" applyNumberFormat="1" applyFont="1" applyFill="1" applyBorder="1" applyAlignment="1">
      <alignment vertical="center" wrapText="1"/>
    </xf>
    <xf numFmtId="4" fontId="31" fillId="0" borderId="1" xfId="0" applyNumberFormat="1" applyFont="1" applyFill="1" applyBorder="1" applyAlignment="1">
      <alignment horizontal="right" vertical="center" wrapText="1"/>
    </xf>
    <xf numFmtId="0" fontId="36" fillId="0" borderId="1" xfId="0" applyFont="1" applyFill="1" applyBorder="1"/>
    <xf numFmtId="49" fontId="33" fillId="0" borderId="4" xfId="0" applyNumberFormat="1" applyFont="1" applyFill="1" applyBorder="1" applyAlignment="1">
      <alignment horizontal="center" vertical="center" wrapText="1"/>
    </xf>
    <xf numFmtId="49" fontId="33" fillId="0" borderId="2" xfId="0" applyNumberFormat="1" applyFont="1" applyFill="1" applyBorder="1" applyAlignment="1">
      <alignment horizontal="center" vertical="center" wrapText="1"/>
    </xf>
    <xf numFmtId="0" fontId="33" fillId="0" borderId="8" xfId="0" applyFont="1" applyFill="1" applyBorder="1" applyAlignment="1">
      <alignment horizontal="center" vertical="center" wrapText="1"/>
    </xf>
    <xf numFmtId="49" fontId="33" fillId="0" borderId="21" xfId="0" applyNumberFormat="1" applyFont="1" applyFill="1" applyBorder="1" applyAlignment="1">
      <alignment horizontal="center" vertical="center" wrapText="1"/>
    </xf>
    <xf numFmtId="0" fontId="33" fillId="0" borderId="21" xfId="0" applyFont="1" applyFill="1" applyBorder="1" applyAlignment="1">
      <alignment horizontal="center" vertical="center" wrapText="1"/>
    </xf>
    <xf numFmtId="0" fontId="33" fillId="0" borderId="22" xfId="0" applyFont="1" applyFill="1" applyBorder="1" applyAlignment="1">
      <alignment horizontal="center" vertical="center" wrapText="1"/>
    </xf>
    <xf numFmtId="0" fontId="31" fillId="0" borderId="20" xfId="0" applyFont="1" applyFill="1" applyBorder="1" applyAlignment="1">
      <alignment horizontal="left" vertical="center" wrapText="1"/>
    </xf>
    <xf numFmtId="0" fontId="31" fillId="0" borderId="23" xfId="0" applyFont="1" applyFill="1" applyBorder="1" applyAlignment="1">
      <alignment horizontal="left" vertical="center" wrapText="1"/>
    </xf>
    <xf numFmtId="0" fontId="33" fillId="0" borderId="20" xfId="0" applyFont="1" applyFill="1" applyBorder="1" applyAlignment="1">
      <alignment horizontal="center" vertical="center" wrapText="1"/>
    </xf>
    <xf numFmtId="49" fontId="33" fillId="0" borderId="20" xfId="0" applyNumberFormat="1" applyFont="1" applyFill="1" applyBorder="1" applyAlignment="1">
      <alignment horizontal="center" vertical="center" wrapText="1"/>
    </xf>
    <xf numFmtId="4" fontId="33" fillId="0" borderId="20" xfId="0" applyNumberFormat="1" applyFont="1" applyFill="1" applyBorder="1" applyAlignment="1">
      <alignment horizontal="right" vertical="center" wrapText="1"/>
    </xf>
    <xf numFmtId="4" fontId="31" fillId="0" borderId="20" xfId="0" applyNumberFormat="1" applyFont="1" applyFill="1" applyBorder="1" applyAlignment="1">
      <alignment horizontal="right" vertical="center" wrapText="1"/>
    </xf>
    <xf numFmtId="49" fontId="33" fillId="0" borderId="18" xfId="0" applyNumberFormat="1" applyFont="1" applyFill="1" applyBorder="1" applyAlignment="1">
      <alignment horizontal="center" vertical="center" wrapText="1"/>
    </xf>
    <xf numFmtId="0" fontId="33" fillId="0" borderId="23" xfId="0" applyFont="1" applyFill="1" applyBorder="1" applyAlignment="1">
      <alignment horizontal="center" vertical="center" wrapText="1"/>
    </xf>
    <xf numFmtId="49" fontId="29" fillId="0" borderId="3" xfId="0" applyNumberFormat="1" applyFont="1" applyFill="1" applyBorder="1" applyAlignment="1">
      <alignment horizontal="center" vertical="center" wrapText="1"/>
    </xf>
    <xf numFmtId="0" fontId="32" fillId="0" borderId="16" xfId="0" applyFont="1" applyFill="1" applyBorder="1" applyAlignment="1">
      <alignment horizontal="center" vertical="center" wrapText="1"/>
    </xf>
    <xf numFmtId="49" fontId="32" fillId="0" borderId="16" xfId="0" applyNumberFormat="1" applyFont="1" applyFill="1" applyBorder="1" applyAlignment="1">
      <alignment horizontal="center" vertical="center" wrapText="1"/>
    </xf>
    <xf numFmtId="0" fontId="32" fillId="0" borderId="4" xfId="0" applyFont="1" applyFill="1" applyBorder="1" applyAlignment="1">
      <alignment horizontal="center" vertical="center" wrapText="1"/>
    </xf>
    <xf numFmtId="49" fontId="32" fillId="0" borderId="4" xfId="0" applyNumberFormat="1" applyFont="1" applyFill="1" applyBorder="1" applyAlignment="1">
      <alignment horizontal="center" vertical="center" wrapText="1"/>
    </xf>
    <xf numFmtId="4" fontId="29" fillId="0" borderId="4" xfId="0" applyNumberFormat="1" applyFont="1" applyFill="1" applyBorder="1" applyAlignment="1">
      <alignment horizontal="right" vertical="center" wrapText="1"/>
    </xf>
    <xf numFmtId="0" fontId="32" fillId="0" borderId="21" xfId="0" applyFont="1" applyFill="1" applyBorder="1" applyAlignment="1">
      <alignment horizontal="center" vertical="center" wrapText="1"/>
    </xf>
    <xf numFmtId="49" fontId="32" fillId="0" borderId="21" xfId="0" applyNumberFormat="1" applyFont="1" applyFill="1" applyBorder="1" applyAlignment="1">
      <alignment horizontal="center" vertical="center" wrapText="1"/>
    </xf>
    <xf numFmtId="49" fontId="33" fillId="0" borderId="19" xfId="0" applyNumberFormat="1" applyFont="1" applyFill="1" applyBorder="1" applyAlignment="1">
      <alignment horizontal="center" vertical="center" wrapText="1"/>
    </xf>
    <xf numFmtId="4" fontId="33" fillId="0" borderId="3" xfId="0" applyNumberFormat="1" applyFont="1" applyFill="1" applyBorder="1" applyAlignment="1">
      <alignment horizontal="right" vertical="center" wrapText="1"/>
    </xf>
    <xf numFmtId="0" fontId="29" fillId="0" borderId="16" xfId="0" applyNumberFormat="1" applyFont="1" applyFill="1" applyBorder="1" applyAlignment="1">
      <alignment horizontal="center" vertical="center" wrapText="1"/>
    </xf>
    <xf numFmtId="0" fontId="29" fillId="0" borderId="4" xfId="0" applyNumberFormat="1" applyFont="1" applyFill="1" applyBorder="1" applyAlignment="1">
      <alignment horizontal="center" vertical="center" wrapText="1"/>
    </xf>
    <xf numFmtId="0" fontId="31" fillId="0" borderId="5" xfId="0" applyFont="1" applyFill="1" applyBorder="1" applyAlignment="1">
      <alignment horizontal="left" vertical="center" wrapText="1"/>
    </xf>
    <xf numFmtId="0" fontId="31" fillId="0" borderId="4" xfId="0" applyFont="1" applyFill="1" applyBorder="1" applyAlignment="1">
      <alignment horizontal="left" vertical="center" wrapText="1"/>
    </xf>
    <xf numFmtId="4" fontId="32" fillId="0" borderId="17" xfId="0" applyNumberFormat="1" applyFont="1" applyFill="1" applyBorder="1" applyAlignment="1">
      <alignment horizontal="center" vertical="center" wrapText="1"/>
    </xf>
    <xf numFmtId="4" fontId="29" fillId="0" borderId="17" xfId="0" applyNumberFormat="1" applyFont="1" applyFill="1" applyBorder="1" applyAlignment="1">
      <alignment horizontal="right" vertical="center" wrapText="1"/>
    </xf>
    <xf numFmtId="49" fontId="32" fillId="0" borderId="18" xfId="0" applyNumberFormat="1" applyFont="1" applyFill="1" applyBorder="1" applyAlignment="1">
      <alignment horizontal="center" vertical="center" wrapText="1"/>
    </xf>
    <xf numFmtId="0" fontId="41" fillId="0" borderId="2" xfId="0" applyFont="1" applyFill="1" applyBorder="1" applyAlignment="1">
      <alignment wrapText="1"/>
    </xf>
    <xf numFmtId="0" fontId="41" fillId="0" borderId="0" xfId="0" applyFont="1" applyFill="1" applyAlignment="1">
      <alignment wrapText="1"/>
    </xf>
    <xf numFmtId="49" fontId="31" fillId="0" borderId="23" xfId="0" applyNumberFormat="1" applyFont="1" applyFill="1" applyBorder="1" applyAlignment="1">
      <alignment horizontal="center" vertical="center" wrapText="1"/>
    </xf>
    <xf numFmtId="4" fontId="31" fillId="0" borderId="20" xfId="0" applyNumberFormat="1" applyFont="1" applyFill="1" applyBorder="1" applyAlignment="1">
      <alignment vertical="center" wrapText="1"/>
    </xf>
    <xf numFmtId="4" fontId="31" fillId="0" borderId="21" xfId="0" applyNumberFormat="1" applyFont="1" applyFill="1" applyBorder="1" applyAlignment="1">
      <alignment vertical="center" wrapText="1"/>
    </xf>
    <xf numFmtId="49" fontId="42" fillId="0" borderId="20" xfId="0" applyNumberFormat="1" applyFont="1" applyFill="1" applyBorder="1" applyAlignment="1">
      <alignment horizontal="center" vertical="center" wrapText="1"/>
    </xf>
    <xf numFmtId="0" fontId="31" fillId="0" borderId="3" xfId="0" applyFont="1" applyFill="1" applyBorder="1" applyAlignment="1">
      <alignment horizontal="center" vertical="center" wrapText="1"/>
    </xf>
    <xf numFmtId="49" fontId="31" fillId="0" borderId="11" xfId="0" applyNumberFormat="1" applyFont="1" applyFill="1" applyBorder="1" applyAlignment="1">
      <alignment horizontal="center" vertical="center" wrapText="1"/>
    </xf>
    <xf numFmtId="0" fontId="29" fillId="0" borderId="17" xfId="0" applyFont="1" applyFill="1" applyBorder="1" applyAlignment="1">
      <alignment horizontal="center" vertical="center" wrapText="1"/>
    </xf>
    <xf numFmtId="49" fontId="29" fillId="0" borderId="25" xfId="0" applyNumberFormat="1" applyFont="1" applyFill="1" applyBorder="1" applyAlignment="1">
      <alignment horizontal="center" vertical="center" wrapText="1"/>
    </xf>
    <xf numFmtId="0" fontId="40" fillId="0" borderId="16" xfId="0" applyFont="1" applyFill="1" applyBorder="1" applyAlignment="1">
      <alignment vertical="center"/>
    </xf>
    <xf numFmtId="4" fontId="29" fillId="0" borderId="16" xfId="0" applyNumberFormat="1" applyFont="1" applyFill="1" applyBorder="1" applyAlignment="1">
      <alignment horizontal="center" vertical="center" wrapText="1"/>
    </xf>
    <xf numFmtId="0" fontId="29" fillId="0" borderId="17" xfId="0" applyFont="1" applyFill="1" applyBorder="1" applyAlignment="1">
      <alignment horizontal="left" vertical="center" wrapText="1"/>
    </xf>
    <xf numFmtId="49" fontId="29" fillId="0" borderId="11" xfId="0" applyNumberFormat="1" applyFont="1" applyFill="1" applyBorder="1" applyAlignment="1">
      <alignment horizontal="center" vertical="center" wrapText="1"/>
    </xf>
    <xf numFmtId="4" fontId="29" fillId="0" borderId="2" xfId="0" applyNumberFormat="1" applyFont="1" applyFill="1" applyBorder="1" applyAlignment="1">
      <alignment horizontal="right" vertical="center" wrapText="1"/>
    </xf>
    <xf numFmtId="49" fontId="29" fillId="0" borderId="5" xfId="0" applyNumberFormat="1" applyFont="1" applyFill="1" applyBorder="1" applyAlignment="1">
      <alignment horizontal="center" vertical="center" wrapText="1"/>
    </xf>
    <xf numFmtId="0" fontId="29" fillId="0" borderId="3" xfId="0" applyFont="1" applyFill="1" applyBorder="1" applyAlignment="1">
      <alignment horizontal="left" vertical="center" wrapText="1"/>
    </xf>
    <xf numFmtId="4" fontId="40" fillId="0" borderId="21" xfId="0" applyNumberFormat="1" applyFont="1" applyFill="1" applyBorder="1" applyAlignment="1">
      <alignment vertical="center"/>
    </xf>
    <xf numFmtId="0" fontId="31" fillId="0" borderId="24" xfId="0" applyFont="1" applyFill="1" applyBorder="1" applyAlignment="1">
      <alignment horizontal="left" vertical="center" wrapText="1"/>
    </xf>
    <xf numFmtId="0" fontId="31" fillId="0" borderId="24" xfId="0" applyFont="1" applyFill="1" applyBorder="1" applyAlignment="1">
      <alignment horizontal="left" vertical="top" wrapText="1"/>
    </xf>
    <xf numFmtId="49" fontId="31" fillId="0" borderId="19" xfId="0" applyNumberFormat="1" applyFont="1" applyFill="1" applyBorder="1" applyAlignment="1">
      <alignment horizontal="center" vertical="center"/>
    </xf>
    <xf numFmtId="49" fontId="31" fillId="0" borderId="6" xfId="0" applyNumberFormat="1" applyFont="1" applyFill="1" applyBorder="1" applyAlignment="1">
      <alignment horizontal="center" vertical="center"/>
    </xf>
    <xf numFmtId="49" fontId="31" fillId="0" borderId="8" xfId="0" applyNumberFormat="1" applyFont="1" applyFill="1" applyBorder="1" applyAlignment="1">
      <alignment horizontal="center" vertical="center"/>
    </xf>
    <xf numFmtId="49" fontId="31" fillId="0" borderId="22" xfId="0" applyNumberFormat="1" applyFont="1" applyFill="1" applyBorder="1" applyAlignment="1">
      <alignment horizontal="center" vertical="center"/>
    </xf>
    <xf numFmtId="0" fontId="29" fillId="0" borderId="16" xfId="0" applyNumberFormat="1" applyFont="1" applyFill="1" applyBorder="1" applyAlignment="1">
      <alignment horizontal="center" vertical="center"/>
    </xf>
    <xf numFmtId="49" fontId="31" fillId="0" borderId="24" xfId="0" applyNumberFormat="1" applyFont="1" applyFill="1" applyBorder="1" applyAlignment="1">
      <alignment horizontal="center" vertical="center"/>
    </xf>
    <xf numFmtId="0" fontId="31" fillId="0" borderId="17" xfId="0" applyFont="1" applyFill="1" applyBorder="1" applyAlignment="1">
      <alignment horizontal="left" vertical="center" wrapText="1"/>
    </xf>
    <xf numFmtId="0" fontId="31" fillId="0" borderId="17" xfId="0" applyFont="1" applyFill="1" applyBorder="1" applyAlignment="1">
      <alignment horizontal="center" vertical="center"/>
    </xf>
    <xf numFmtId="49" fontId="31" fillId="0" borderId="17" xfId="0" applyNumberFormat="1" applyFont="1" applyFill="1" applyBorder="1" applyAlignment="1">
      <alignment horizontal="center" vertical="center"/>
    </xf>
    <xf numFmtId="4" fontId="31" fillId="0" borderId="17" xfId="0" applyNumberFormat="1" applyFont="1" applyFill="1" applyBorder="1" applyAlignment="1">
      <alignment horizontal="right" vertical="center"/>
    </xf>
    <xf numFmtId="0" fontId="29" fillId="0" borderId="18" xfId="0" applyFont="1" applyFill="1" applyBorder="1" applyAlignment="1">
      <alignment horizontal="left" vertical="center" wrapText="1"/>
    </xf>
    <xf numFmtId="0" fontId="29" fillId="0" borderId="19" xfId="0" applyFont="1" applyFill="1" applyBorder="1" applyAlignment="1">
      <alignment horizontal="left" vertical="center" wrapText="1"/>
    </xf>
    <xf numFmtId="4" fontId="33" fillId="0" borderId="17" xfId="0" applyNumberFormat="1" applyFont="1" applyFill="1" applyBorder="1" applyAlignment="1">
      <alignment vertical="center" wrapText="1"/>
    </xf>
    <xf numFmtId="0" fontId="31" fillId="0" borderId="2" xfId="0" applyFont="1" applyFill="1" applyBorder="1" applyAlignment="1">
      <alignment vertical="center"/>
    </xf>
    <xf numFmtId="49" fontId="31" fillId="0" borderId="2" xfId="0" applyNumberFormat="1" applyFont="1" applyFill="1" applyBorder="1" applyAlignment="1">
      <alignment vertical="center"/>
    </xf>
    <xf numFmtId="49" fontId="33" fillId="0" borderId="2" xfId="0" applyNumberFormat="1" applyFont="1" applyFill="1" applyBorder="1" applyAlignment="1">
      <alignment horizontal="center" vertical="center"/>
    </xf>
    <xf numFmtId="0" fontId="31" fillId="0" borderId="1" xfId="0" applyFont="1" applyFill="1" applyBorder="1" applyAlignment="1">
      <alignment vertical="center"/>
    </xf>
    <xf numFmtId="49" fontId="31" fillId="0" borderId="1" xfId="0" applyNumberFormat="1" applyFont="1" applyFill="1" applyBorder="1" applyAlignment="1">
      <alignment vertical="center"/>
    </xf>
    <xf numFmtId="49" fontId="33" fillId="0" borderId="1" xfId="0" applyNumberFormat="1" applyFont="1" applyFill="1" applyBorder="1" applyAlignment="1">
      <alignment horizontal="center" vertical="center"/>
    </xf>
    <xf numFmtId="4" fontId="33" fillId="0" borderId="16" xfId="0" applyNumberFormat="1" applyFont="1" applyFill="1" applyBorder="1" applyAlignment="1">
      <alignment vertical="center" wrapText="1"/>
    </xf>
    <xf numFmtId="49" fontId="31" fillId="0" borderId="5" xfId="0" applyNumberFormat="1" applyFont="1" applyFill="1" applyBorder="1" applyAlignment="1">
      <alignment horizontal="center" vertical="center"/>
    </xf>
    <xf numFmtId="0" fontId="31" fillId="0" borderId="20" xfId="0" applyFont="1" applyFill="1" applyBorder="1" applyAlignment="1">
      <alignment horizontal="center" vertical="center"/>
    </xf>
    <xf numFmtId="49" fontId="31" fillId="0" borderId="20" xfId="0" applyNumberFormat="1" applyFont="1" applyFill="1" applyBorder="1" applyAlignment="1">
      <alignment horizontal="center" vertical="center"/>
    </xf>
    <xf numFmtId="49" fontId="31" fillId="0" borderId="23" xfId="0" applyNumberFormat="1" applyFont="1" applyFill="1" applyBorder="1" applyAlignment="1">
      <alignment horizontal="center" vertical="center"/>
    </xf>
    <xf numFmtId="0" fontId="32" fillId="0" borderId="16" xfId="0" applyFont="1" applyFill="1" applyBorder="1" applyAlignment="1">
      <alignment horizontal="center" vertical="center"/>
    </xf>
    <xf numFmtId="0" fontId="32" fillId="0" borderId="3" xfId="0" applyFont="1" applyFill="1" applyBorder="1" applyAlignment="1">
      <alignment horizontal="center" vertical="center"/>
    </xf>
    <xf numFmtId="0" fontId="31" fillId="0" borderId="3" xfId="0" applyFont="1" applyFill="1" applyBorder="1" applyAlignment="1">
      <alignment horizontal="center" vertical="center"/>
    </xf>
    <xf numFmtId="49" fontId="31" fillId="0" borderId="3" xfId="0" applyNumberFormat="1" applyFont="1" applyFill="1" applyBorder="1" applyAlignment="1">
      <alignment horizontal="center" vertical="center"/>
    </xf>
    <xf numFmtId="49" fontId="31" fillId="0" borderId="11" xfId="0" applyNumberFormat="1" applyFont="1" applyFill="1" applyBorder="1" applyAlignment="1">
      <alignment horizontal="center" vertical="center"/>
    </xf>
    <xf numFmtId="0" fontId="33" fillId="0" borderId="18" xfId="0" applyFont="1" applyFill="1" applyBorder="1" applyAlignment="1">
      <alignment horizontal="center" vertical="center"/>
    </xf>
    <xf numFmtId="49" fontId="33" fillId="0" borderId="18" xfId="0" applyNumberFormat="1" applyFont="1" applyFill="1" applyBorder="1" applyAlignment="1">
      <alignment horizontal="center" vertical="center"/>
    </xf>
    <xf numFmtId="0" fontId="33" fillId="0" borderId="21" xfId="0" applyFont="1" applyFill="1" applyBorder="1" applyAlignment="1">
      <alignment vertical="center"/>
    </xf>
    <xf numFmtId="49" fontId="33" fillId="0" borderId="21" xfId="0" applyNumberFormat="1" applyFont="1" applyFill="1" applyBorder="1" applyAlignment="1">
      <alignment horizontal="center" vertical="center"/>
    </xf>
    <xf numFmtId="4" fontId="33" fillId="0" borderId="21" xfId="0" applyNumberFormat="1" applyFont="1" applyFill="1" applyBorder="1" applyAlignment="1">
      <alignment vertical="center"/>
    </xf>
    <xf numFmtId="4" fontId="33" fillId="0" borderId="27" xfId="0" applyNumberFormat="1" applyFont="1" applyFill="1" applyBorder="1" applyAlignment="1">
      <alignment horizontal="right" vertical="center" wrapText="1"/>
    </xf>
    <xf numFmtId="4" fontId="33" fillId="0" borderId="13" xfId="0" applyNumberFormat="1" applyFont="1" applyFill="1" applyBorder="1" applyAlignment="1">
      <alignment horizontal="right" vertical="center" wrapText="1"/>
    </xf>
    <xf numFmtId="4" fontId="32" fillId="0" borderId="26" xfId="0" applyNumberFormat="1" applyFont="1" applyFill="1" applyBorder="1" applyAlignment="1">
      <alignment horizontal="right" vertical="center" wrapText="1"/>
    </xf>
    <xf numFmtId="49" fontId="33" fillId="0" borderId="19" xfId="0" applyNumberFormat="1" applyFont="1" applyFill="1" applyBorder="1" applyAlignment="1">
      <alignment horizontal="center" vertical="center"/>
    </xf>
    <xf numFmtId="0" fontId="33" fillId="0" borderId="2" xfId="0" applyFont="1" applyFill="1" applyBorder="1" applyAlignment="1">
      <alignment horizontal="center" vertical="center"/>
    </xf>
    <xf numFmtId="49" fontId="33" fillId="0" borderId="6" xfId="0" applyNumberFormat="1" applyFont="1" applyFill="1" applyBorder="1" applyAlignment="1">
      <alignment horizontal="center" vertical="center"/>
    </xf>
    <xf numFmtId="0" fontId="37" fillId="0" borderId="2" xfId="0" applyFont="1" applyFill="1" applyBorder="1"/>
    <xf numFmtId="0" fontId="33" fillId="0" borderId="21" xfId="0" applyFont="1" applyFill="1" applyBorder="1" applyAlignment="1">
      <alignment horizontal="center" vertical="center"/>
    </xf>
    <xf numFmtId="49" fontId="33" fillId="0" borderId="22" xfId="0" applyNumberFormat="1" applyFont="1" applyFill="1" applyBorder="1" applyAlignment="1">
      <alignment horizontal="center" vertical="center"/>
    </xf>
    <xf numFmtId="2" fontId="33" fillId="0" borderId="21" xfId="0" applyNumberFormat="1" applyFont="1" applyFill="1" applyBorder="1" applyAlignment="1">
      <alignment vertical="center"/>
    </xf>
    <xf numFmtId="0" fontId="33" fillId="0" borderId="16" xfId="0" applyFont="1" applyFill="1" applyBorder="1" applyAlignment="1">
      <alignment horizontal="center" vertical="center"/>
    </xf>
    <xf numFmtId="49" fontId="33" fillId="0" borderId="16" xfId="0" applyNumberFormat="1" applyFont="1" applyFill="1" applyBorder="1" applyAlignment="1">
      <alignment horizontal="center" vertical="center"/>
    </xf>
    <xf numFmtId="4" fontId="33" fillId="0" borderId="26" xfId="0" applyNumberFormat="1" applyFont="1" applyFill="1" applyBorder="1" applyAlignment="1">
      <alignment horizontal="right" vertical="center" wrapText="1"/>
    </xf>
    <xf numFmtId="2" fontId="33" fillId="0" borderId="16" xfId="0" applyNumberFormat="1" applyFont="1" applyFill="1" applyBorder="1" applyAlignment="1">
      <alignment horizontal="right" vertical="center"/>
    </xf>
    <xf numFmtId="0" fontId="29" fillId="0" borderId="3" xfId="0" applyNumberFormat="1" applyFont="1" applyFill="1" applyBorder="1" applyAlignment="1">
      <alignment horizontal="center" vertical="center"/>
    </xf>
    <xf numFmtId="49" fontId="33" fillId="0" borderId="16" xfId="0" applyNumberFormat="1" applyFont="1" applyFill="1" applyBorder="1" applyAlignment="1">
      <alignment horizontal="center" vertical="center" wrapText="1"/>
    </xf>
    <xf numFmtId="0" fontId="33" fillId="0" borderId="16" xfId="0" applyFont="1" applyFill="1" applyBorder="1" applyAlignment="1">
      <alignment horizontal="center" vertical="center" wrapText="1"/>
    </xf>
    <xf numFmtId="0" fontId="29" fillId="0" borderId="1" xfId="0" applyFont="1" applyFill="1" applyBorder="1" applyAlignment="1">
      <alignment horizontal="justify" vertical="center" wrapText="1"/>
    </xf>
    <xf numFmtId="4" fontId="31" fillId="0" borderId="17" xfId="0" applyNumberFormat="1" applyFont="1" applyFill="1" applyBorder="1" applyAlignment="1">
      <alignment horizontal="center" vertical="center" wrapText="1"/>
    </xf>
    <xf numFmtId="4" fontId="31" fillId="0" borderId="3" xfId="0" applyNumberFormat="1" applyFont="1" applyFill="1" applyBorder="1" applyAlignment="1">
      <alignment horizontal="center" vertical="center" wrapText="1"/>
    </xf>
    <xf numFmtId="4" fontId="31" fillId="0" borderId="4" xfId="0" applyNumberFormat="1" applyFont="1" applyFill="1" applyBorder="1" applyAlignment="1">
      <alignment horizontal="center" vertical="center" wrapText="1"/>
    </xf>
    <xf numFmtId="0" fontId="31" fillId="0" borderId="3" xfId="0" applyFont="1" applyFill="1" applyBorder="1" applyAlignment="1">
      <alignment horizontal="left" vertical="center" wrapText="1"/>
    </xf>
    <xf numFmtId="0" fontId="31" fillId="0" borderId="20" xfId="0" applyFont="1" applyFill="1" applyBorder="1" applyAlignment="1">
      <alignment horizontal="left" vertical="center" wrapText="1"/>
    </xf>
    <xf numFmtId="4" fontId="33" fillId="0" borderId="3" xfId="0" applyNumberFormat="1" applyFont="1" applyFill="1" applyBorder="1" applyAlignment="1">
      <alignment horizontal="right" vertical="center" wrapText="1"/>
    </xf>
    <xf numFmtId="4" fontId="33" fillId="0" borderId="20" xfId="0" applyNumberFormat="1" applyFont="1" applyFill="1" applyBorder="1" applyAlignment="1">
      <alignment horizontal="right" vertical="center" wrapText="1"/>
    </xf>
    <xf numFmtId="0" fontId="29" fillId="0" borderId="17" xfId="0" applyFont="1" applyFill="1" applyBorder="1" applyAlignment="1">
      <alignment horizontal="center" vertical="center"/>
    </xf>
    <xf numFmtId="0" fontId="29" fillId="0" borderId="3" xfId="0" applyFont="1" applyFill="1" applyBorder="1" applyAlignment="1">
      <alignment horizontal="center" vertical="center"/>
    </xf>
    <xf numFmtId="0" fontId="29" fillId="0" borderId="20" xfId="0" applyFont="1" applyFill="1" applyBorder="1" applyAlignment="1">
      <alignment horizontal="center" vertical="center"/>
    </xf>
    <xf numFmtId="0" fontId="31" fillId="0" borderId="17" xfId="0" applyFont="1" applyFill="1" applyBorder="1" applyAlignment="1">
      <alignment horizontal="left" vertical="center" wrapText="1"/>
    </xf>
    <xf numFmtId="0" fontId="29" fillId="0" borderId="17"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29" fillId="0" borderId="4" xfId="0" applyFont="1" applyFill="1" applyBorder="1" applyAlignment="1">
      <alignment horizontal="center" vertical="center" wrapText="1"/>
    </xf>
    <xf numFmtId="0" fontId="31" fillId="0" borderId="17"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4" xfId="0" applyFont="1" applyFill="1" applyBorder="1" applyAlignment="1">
      <alignment horizontal="center" vertical="center" wrapText="1"/>
    </xf>
    <xf numFmtId="4" fontId="33" fillId="0" borderId="17" xfId="0" applyNumberFormat="1" applyFont="1" applyFill="1" applyBorder="1" applyAlignment="1">
      <alignment horizontal="right" vertical="center" wrapText="1"/>
    </xf>
    <xf numFmtId="0" fontId="29" fillId="0" borderId="18" xfId="0" applyFont="1" applyFill="1" applyBorder="1" applyAlignment="1">
      <alignment horizontal="left" vertical="center" wrapText="1"/>
    </xf>
    <xf numFmtId="0" fontId="29" fillId="0" borderId="21" xfId="0" applyFont="1" applyFill="1" applyBorder="1" applyAlignment="1">
      <alignment horizontal="left" vertical="center" wrapText="1"/>
    </xf>
    <xf numFmtId="4" fontId="32" fillId="0" borderId="17" xfId="0" applyNumberFormat="1" applyFont="1" applyFill="1" applyBorder="1" applyAlignment="1">
      <alignment horizontal="right" vertical="center" wrapText="1"/>
    </xf>
    <xf numFmtId="4" fontId="32" fillId="0" borderId="20" xfId="0" applyNumberFormat="1" applyFont="1" applyFill="1" applyBorder="1" applyAlignment="1">
      <alignment horizontal="right" vertical="center" wrapText="1"/>
    </xf>
    <xf numFmtId="0" fontId="29" fillId="0" borderId="17" xfId="0" applyFont="1" applyFill="1" applyBorder="1" applyAlignment="1">
      <alignment horizontal="left" vertical="center" wrapText="1"/>
    </xf>
    <xf numFmtId="0" fontId="29" fillId="0" borderId="3" xfId="0" applyFont="1" applyFill="1" applyBorder="1" applyAlignment="1">
      <alignment horizontal="left" vertical="center" wrapText="1"/>
    </xf>
    <xf numFmtId="0" fontId="29" fillId="0" borderId="20" xfId="0" applyFont="1" applyFill="1" applyBorder="1" applyAlignment="1">
      <alignment horizontal="left" vertical="center" wrapText="1"/>
    </xf>
    <xf numFmtId="0" fontId="32" fillId="0" borderId="17" xfId="0" applyFont="1" applyFill="1" applyBorder="1" applyAlignment="1">
      <alignment horizontal="left" vertical="center" wrapText="1"/>
    </xf>
    <xf numFmtId="0" fontId="32" fillId="0" borderId="3" xfId="0" applyFont="1" applyFill="1" applyBorder="1" applyAlignment="1">
      <alignment horizontal="left" vertical="center" wrapText="1"/>
    </xf>
    <xf numFmtId="0" fontId="32" fillId="0" borderId="20" xfId="0" applyFont="1" applyFill="1" applyBorder="1" applyAlignment="1">
      <alignment horizontal="left" vertical="center" wrapText="1"/>
    </xf>
    <xf numFmtId="0" fontId="32" fillId="0" borderId="17" xfId="0" applyNumberFormat="1" applyFont="1" applyFill="1" applyBorder="1" applyAlignment="1">
      <alignment horizontal="center" vertical="center"/>
    </xf>
    <xf numFmtId="0" fontId="32" fillId="0" borderId="3" xfId="0" applyNumberFormat="1" applyFont="1" applyFill="1" applyBorder="1" applyAlignment="1">
      <alignment horizontal="center" vertical="center"/>
    </xf>
    <xf numFmtId="0" fontId="32" fillId="0" borderId="20" xfId="0" applyNumberFormat="1" applyFont="1" applyFill="1" applyBorder="1" applyAlignment="1">
      <alignment horizontal="center" vertical="center"/>
    </xf>
    <xf numFmtId="0" fontId="29" fillId="0" borderId="20" xfId="0" applyFont="1" applyFill="1" applyBorder="1" applyAlignment="1">
      <alignment horizontal="center" vertical="center" wrapText="1"/>
    </xf>
    <xf numFmtId="0" fontId="29" fillId="0" borderId="17" xfId="0" applyNumberFormat="1" applyFont="1" applyFill="1" applyBorder="1" applyAlignment="1">
      <alignment horizontal="center" vertical="center"/>
    </xf>
    <xf numFmtId="0" fontId="29" fillId="0" borderId="20" xfId="0" applyNumberFormat="1" applyFont="1" applyFill="1" applyBorder="1" applyAlignment="1">
      <alignment horizontal="center" vertical="center"/>
    </xf>
    <xf numFmtId="0" fontId="33" fillId="0" borderId="17" xfId="0" applyFont="1" applyFill="1" applyBorder="1" applyAlignment="1">
      <alignment horizontal="left" vertical="center" wrapText="1"/>
    </xf>
    <xf numFmtId="0" fontId="33" fillId="0" borderId="20" xfId="0" applyFont="1" applyFill="1" applyBorder="1" applyAlignment="1">
      <alignment horizontal="left" vertical="center" wrapText="1"/>
    </xf>
    <xf numFmtId="4" fontId="33" fillId="0" borderId="4" xfId="0" applyNumberFormat="1" applyFont="1" applyFill="1" applyBorder="1" applyAlignment="1">
      <alignment horizontal="right" vertical="center" wrapText="1"/>
    </xf>
    <xf numFmtId="4" fontId="33" fillId="0" borderId="1" xfId="0" applyNumberFormat="1" applyFont="1" applyFill="1" applyBorder="1" applyAlignment="1">
      <alignment horizontal="right" vertical="center" wrapText="1"/>
    </xf>
    <xf numFmtId="4" fontId="33" fillId="0" borderId="18" xfId="0" applyNumberFormat="1" applyFont="1" applyFill="1" applyBorder="1" applyAlignment="1">
      <alignment horizontal="right" vertical="center" wrapText="1"/>
    </xf>
    <xf numFmtId="4" fontId="33" fillId="0" borderId="21" xfId="0" applyNumberFormat="1" applyFont="1" applyFill="1" applyBorder="1" applyAlignment="1">
      <alignment horizontal="right" vertical="center" wrapText="1"/>
    </xf>
    <xf numFmtId="0" fontId="26" fillId="0" borderId="0" xfId="0" applyFont="1" applyFill="1" applyAlignment="1">
      <alignment horizontal="center" vertical="top" wrapText="1"/>
    </xf>
    <xf numFmtId="0" fontId="25" fillId="0" borderId="0" xfId="0" applyFont="1" applyFill="1" applyAlignment="1">
      <alignment horizontal="center" vertical="top" wrapText="1"/>
    </xf>
    <xf numFmtId="0" fontId="29" fillId="0" borderId="1"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9" fillId="0" borderId="8" xfId="0" applyFont="1" applyFill="1" applyBorder="1" applyAlignment="1">
      <alignment horizontal="center" vertical="center" wrapText="1"/>
    </xf>
    <xf numFmtId="0" fontId="29" fillId="0" borderId="11" xfId="0" applyFont="1" applyFill="1" applyBorder="1" applyAlignment="1">
      <alignment horizontal="center" vertical="center" wrapText="1"/>
    </xf>
    <xf numFmtId="0" fontId="39" fillId="0" borderId="4" xfId="0" applyFont="1" applyFill="1" applyBorder="1" applyAlignment="1">
      <alignment horizontal="center" vertical="center" wrapText="1"/>
    </xf>
    <xf numFmtId="0" fontId="29" fillId="0" borderId="2" xfId="0" applyFont="1" applyFill="1" applyBorder="1" applyAlignment="1">
      <alignment horizontal="left" vertical="top" wrapText="1"/>
    </xf>
    <xf numFmtId="49" fontId="29" fillId="0" borderId="2" xfId="0" applyNumberFormat="1" applyFont="1" applyFill="1" applyBorder="1" applyAlignment="1">
      <alignment horizontal="center" vertical="center" wrapText="1"/>
    </xf>
    <xf numFmtId="0" fontId="29" fillId="0" borderId="15" xfId="0" applyFont="1" applyFill="1" applyBorder="1" applyAlignment="1">
      <alignment horizontal="center" vertical="center" wrapText="1"/>
    </xf>
    <xf numFmtId="0" fontId="29" fillId="0" borderId="14"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9" fillId="0" borderId="9" xfId="0" applyFont="1" applyFill="1" applyBorder="1" applyAlignment="1">
      <alignment horizontal="center" vertical="center" wrapText="1"/>
    </xf>
    <xf numFmtId="0" fontId="29" fillId="0" borderId="13" xfId="0" applyFont="1" applyFill="1" applyBorder="1" applyAlignment="1">
      <alignment horizontal="center" vertical="center" wrapText="1"/>
    </xf>
    <xf numFmtId="0" fontId="29" fillId="0" borderId="17" xfId="0" applyNumberFormat="1" applyFont="1" applyFill="1" applyBorder="1" applyAlignment="1">
      <alignment horizontal="center" vertical="center" wrapText="1"/>
    </xf>
    <xf numFmtId="0" fontId="29" fillId="0" borderId="20" xfId="0" applyNumberFormat="1" applyFont="1" applyFill="1" applyBorder="1" applyAlignment="1">
      <alignment horizontal="center" vertical="center" wrapText="1"/>
    </xf>
    <xf numFmtId="0" fontId="29" fillId="0" borderId="3" xfId="0"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29" fillId="0" borderId="4" xfId="0" applyNumberFormat="1" applyFont="1" applyFill="1" applyBorder="1" applyAlignment="1">
      <alignment horizontal="center" vertical="center" wrapText="1"/>
    </xf>
    <xf numFmtId="0" fontId="33" fillId="0" borderId="3" xfId="0" applyFont="1" applyFill="1" applyBorder="1" applyAlignment="1">
      <alignment horizontal="left" vertical="center" wrapText="1"/>
    </xf>
    <xf numFmtId="49" fontId="31" fillId="0" borderId="3" xfId="0" applyNumberFormat="1" applyFont="1" applyFill="1" applyBorder="1" applyAlignment="1">
      <alignment horizontal="center" vertical="center" wrapText="1"/>
    </xf>
    <xf numFmtId="49" fontId="31" fillId="0" borderId="3" xfId="0" applyNumberFormat="1" applyFont="1" applyFill="1" applyBorder="1" applyAlignment="1">
      <alignment horizontal="center" vertical="center" shrinkToFit="1"/>
    </xf>
    <xf numFmtId="4" fontId="29" fillId="0" borderId="17" xfId="0" applyNumberFormat="1" applyFont="1" applyFill="1" applyBorder="1" applyAlignment="1">
      <alignment horizontal="center" vertical="center"/>
    </xf>
    <xf numFmtId="4" fontId="29" fillId="0" borderId="20" xfId="0" applyNumberFormat="1" applyFont="1" applyFill="1" applyBorder="1" applyAlignment="1">
      <alignment horizontal="center" vertical="center"/>
    </xf>
    <xf numFmtId="4" fontId="29" fillId="0" borderId="17" xfId="0" applyNumberFormat="1" applyFont="1" applyFill="1" applyBorder="1" applyAlignment="1">
      <alignment horizontal="center" vertical="center" wrapText="1"/>
    </xf>
    <xf numFmtId="4" fontId="29" fillId="0" borderId="20" xfId="0" applyNumberFormat="1" applyFont="1" applyFill="1" applyBorder="1" applyAlignment="1">
      <alignment horizontal="center" vertical="center" wrapText="1"/>
    </xf>
    <xf numFmtId="4" fontId="29" fillId="0" borderId="17" xfId="0" applyNumberFormat="1" applyFont="1" applyFill="1" applyBorder="1" applyAlignment="1">
      <alignment horizontal="right" vertical="center" wrapText="1"/>
    </xf>
    <xf numFmtId="4" fontId="29" fillId="0" borderId="20" xfId="0" applyNumberFormat="1" applyFont="1" applyFill="1" applyBorder="1" applyAlignment="1">
      <alignment horizontal="right" vertical="center" wrapText="1"/>
    </xf>
    <xf numFmtId="4" fontId="31" fillId="0" borderId="17" xfId="0" applyNumberFormat="1" applyFont="1" applyFill="1" applyBorder="1" applyAlignment="1">
      <alignment horizontal="right" vertical="center" wrapText="1"/>
    </xf>
    <xf numFmtId="4" fontId="31" fillId="0" borderId="20" xfId="0" applyNumberFormat="1" applyFont="1" applyFill="1" applyBorder="1" applyAlignment="1">
      <alignment horizontal="right" vertical="center" wrapText="1"/>
    </xf>
    <xf numFmtId="4" fontId="29" fillId="0" borderId="4" xfId="0" applyNumberFormat="1" applyFont="1" applyFill="1" applyBorder="1" applyAlignment="1">
      <alignment horizontal="center" vertical="center" wrapText="1"/>
    </xf>
    <xf numFmtId="4" fontId="29" fillId="0" borderId="21" xfId="0" applyNumberFormat="1" applyFont="1" applyFill="1" applyBorder="1" applyAlignment="1">
      <alignment horizontal="center" vertical="center" wrapText="1"/>
    </xf>
    <xf numFmtId="4" fontId="31" fillId="0" borderId="3" xfId="0" applyNumberFormat="1" applyFont="1" applyFill="1" applyBorder="1" applyAlignment="1">
      <alignment horizontal="right" vertical="center" wrapText="1"/>
    </xf>
    <xf numFmtId="49" fontId="29" fillId="0" borderId="25" xfId="0" applyNumberFormat="1" applyFont="1" applyFill="1" applyBorder="1" applyAlignment="1">
      <alignment horizontal="left" vertical="center" wrapText="1"/>
    </xf>
    <xf numFmtId="49" fontId="29" fillId="0" borderId="23" xfId="0" applyNumberFormat="1" applyFont="1" applyFill="1" applyBorder="1" applyAlignment="1">
      <alignment horizontal="left" vertical="center" wrapText="1"/>
    </xf>
    <xf numFmtId="0" fontId="29" fillId="0" borderId="25" xfId="0" applyFont="1" applyFill="1" applyBorder="1" applyAlignment="1">
      <alignment horizontal="left" vertical="center" wrapText="1"/>
    </xf>
    <xf numFmtId="0" fontId="29" fillId="0" borderId="23" xfId="0" applyFont="1" applyFill="1" applyBorder="1" applyAlignment="1">
      <alignment horizontal="left" vertical="center" wrapText="1"/>
    </xf>
    <xf numFmtId="0" fontId="29" fillId="0" borderId="3" xfId="0" applyNumberFormat="1" applyFont="1" applyFill="1" applyBorder="1" applyAlignment="1">
      <alignment horizontal="center" vertical="center"/>
    </xf>
    <xf numFmtId="4" fontId="32" fillId="0" borderId="3" xfId="0" applyNumberFormat="1" applyFont="1" applyFill="1" applyBorder="1" applyAlignment="1">
      <alignment horizontal="right" vertical="center" wrapText="1"/>
    </xf>
    <xf numFmtId="0" fontId="31" fillId="0" borderId="17" xfId="0" applyFont="1" applyFill="1" applyBorder="1" applyAlignment="1">
      <alignment vertical="top" wrapText="1"/>
    </xf>
    <xf numFmtId="0" fontId="31" fillId="0" borderId="3" xfId="0" applyFont="1" applyFill="1" applyBorder="1" applyAlignment="1">
      <alignment vertical="top" wrapText="1"/>
    </xf>
    <xf numFmtId="0" fontId="31" fillId="0" borderId="20" xfId="0" applyFont="1" applyFill="1" applyBorder="1" applyAlignment="1">
      <alignment vertical="top" wrapText="1"/>
    </xf>
    <xf numFmtId="0" fontId="29" fillId="0" borderId="11" xfId="0" applyFont="1" applyFill="1" applyBorder="1" applyAlignment="1">
      <alignment horizontal="left" vertical="center" wrapText="1"/>
    </xf>
    <xf numFmtId="49" fontId="29" fillId="0" borderId="17" xfId="0" applyNumberFormat="1" applyFont="1" applyFill="1" applyBorder="1" applyAlignment="1">
      <alignment horizontal="left" vertical="center" wrapText="1"/>
    </xf>
    <xf numFmtId="49" fontId="29" fillId="0" borderId="20" xfId="0" applyNumberFormat="1" applyFont="1" applyFill="1" applyBorder="1" applyAlignment="1">
      <alignment horizontal="left" vertical="center" wrapText="1"/>
    </xf>
    <xf numFmtId="4" fontId="33" fillId="0" borderId="17" xfId="0" applyNumberFormat="1" applyFont="1" applyFill="1" applyBorder="1" applyAlignment="1">
      <alignment horizontal="center" vertical="center" wrapText="1"/>
    </xf>
    <xf numFmtId="4" fontId="33" fillId="0" borderId="3" xfId="0" applyNumberFormat="1" applyFont="1" applyFill="1" applyBorder="1" applyAlignment="1">
      <alignment horizontal="center" vertical="center" wrapText="1"/>
    </xf>
    <xf numFmtId="4" fontId="33" fillId="0" borderId="20" xfId="0" applyNumberFormat="1" applyFont="1" applyFill="1" applyBorder="1" applyAlignment="1">
      <alignment horizontal="center" vertical="center" wrapText="1"/>
    </xf>
    <xf numFmtId="0" fontId="32" fillId="0" borderId="18" xfId="0" applyNumberFormat="1" applyFont="1" applyFill="1" applyBorder="1" applyAlignment="1">
      <alignment horizontal="center" vertical="center"/>
    </xf>
    <xf numFmtId="0" fontId="32" fillId="0" borderId="21" xfId="0" applyNumberFormat="1" applyFont="1" applyFill="1" applyBorder="1" applyAlignment="1">
      <alignment horizontal="center" vertical="center"/>
    </xf>
    <xf numFmtId="0" fontId="32" fillId="0" borderId="17" xfId="0" applyFont="1" applyFill="1" applyBorder="1" applyAlignment="1">
      <alignment horizontal="center" vertical="center"/>
    </xf>
    <xf numFmtId="0" fontId="32" fillId="0" borderId="3" xfId="0" applyFont="1" applyFill="1" applyBorder="1" applyAlignment="1">
      <alignment horizontal="center" vertical="center"/>
    </xf>
    <xf numFmtId="0" fontId="32" fillId="0" borderId="20" xfId="0" applyFont="1" applyFill="1" applyBorder="1" applyAlignment="1">
      <alignment horizontal="center" vertical="center"/>
    </xf>
    <xf numFmtId="0" fontId="33" fillId="0" borderId="18" xfId="0" applyFont="1" applyFill="1" applyBorder="1" applyAlignment="1">
      <alignment horizontal="left" vertical="top" wrapText="1"/>
    </xf>
    <xf numFmtId="0" fontId="33" fillId="0" borderId="21" xfId="0" applyFont="1" applyFill="1" applyBorder="1" applyAlignment="1">
      <alignment horizontal="left" vertical="top" wrapText="1"/>
    </xf>
    <xf numFmtId="0" fontId="33" fillId="0" borderId="18" xfId="0" applyFont="1" applyFill="1" applyBorder="1" applyAlignment="1">
      <alignment horizontal="left" vertical="center" wrapText="1"/>
    </xf>
    <xf numFmtId="0" fontId="33" fillId="0" borderId="21" xfId="0" applyFont="1" applyFill="1" applyBorder="1" applyAlignment="1">
      <alignment horizontal="left" vertical="center" wrapText="1"/>
    </xf>
    <xf numFmtId="0" fontId="29" fillId="0" borderId="18" xfId="0" applyFont="1" applyFill="1" applyBorder="1" applyAlignment="1">
      <alignment horizontal="center" vertical="center"/>
    </xf>
    <xf numFmtId="0" fontId="29" fillId="0" borderId="2" xfId="0" applyFont="1" applyFill="1" applyBorder="1" applyAlignment="1">
      <alignment horizontal="center" vertical="center"/>
    </xf>
    <xf numFmtId="0" fontId="29" fillId="0" borderId="21" xfId="0" applyFont="1" applyFill="1" applyBorder="1" applyAlignment="1">
      <alignment horizontal="center" vertical="center"/>
    </xf>
    <xf numFmtId="0" fontId="31" fillId="0" borderId="18" xfId="0" applyFont="1" applyFill="1" applyBorder="1" applyAlignment="1">
      <alignment horizontal="left" vertical="center" wrapText="1"/>
    </xf>
    <xf numFmtId="0" fontId="31" fillId="0" borderId="2" xfId="0" applyFont="1" applyFill="1" applyBorder="1" applyAlignment="1">
      <alignment horizontal="left" vertical="center" wrapText="1"/>
    </xf>
    <xf numFmtId="0" fontId="31" fillId="0" borderId="21" xfId="0" applyFont="1" applyFill="1" applyBorder="1" applyAlignment="1">
      <alignment horizontal="left" vertical="center" wrapText="1"/>
    </xf>
    <xf numFmtId="0" fontId="31" fillId="0" borderId="1" xfId="0" applyFont="1" applyFill="1" applyBorder="1" applyAlignment="1">
      <alignment horizontal="left" vertical="center" wrapText="1"/>
    </xf>
    <xf numFmtId="4" fontId="32" fillId="0" borderId="18" xfId="0" applyNumberFormat="1" applyFont="1" applyFill="1" applyBorder="1" applyAlignment="1">
      <alignment horizontal="right" vertical="center" wrapText="1"/>
    </xf>
    <xf numFmtId="4" fontId="32" fillId="0" borderId="21" xfId="0" applyNumberFormat="1" applyFont="1" applyFill="1" applyBorder="1" applyAlignment="1">
      <alignment horizontal="right" vertical="center" wrapText="1"/>
    </xf>
    <xf numFmtId="0" fontId="29" fillId="0" borderId="25" xfId="0" applyFont="1" applyFill="1" applyBorder="1" applyAlignment="1">
      <alignment horizontal="left" vertical="top" wrapText="1"/>
    </xf>
    <xf numFmtId="0" fontId="29" fillId="0" borderId="23" xfId="0" applyFont="1" applyFill="1" applyBorder="1" applyAlignment="1">
      <alignment horizontal="left" vertical="top" wrapText="1"/>
    </xf>
    <xf numFmtId="4" fontId="29" fillId="0" borderId="18" xfId="0" applyNumberFormat="1" applyFont="1" applyFill="1" applyBorder="1" applyAlignment="1">
      <alignment horizontal="center" vertical="center" wrapText="1"/>
    </xf>
    <xf numFmtId="4" fontId="31" fillId="0" borderId="18" xfId="0" applyNumberFormat="1" applyFont="1" applyFill="1" applyBorder="1" applyAlignment="1">
      <alignment horizontal="right" vertical="center" wrapText="1"/>
    </xf>
    <xf numFmtId="4" fontId="31" fillId="0" borderId="2" xfId="0" applyNumberFormat="1" applyFont="1" applyFill="1" applyBorder="1" applyAlignment="1">
      <alignment horizontal="right" vertical="center" wrapText="1"/>
    </xf>
    <xf numFmtId="4" fontId="31" fillId="0" borderId="21" xfId="0" applyNumberFormat="1" applyFont="1" applyFill="1" applyBorder="1" applyAlignment="1">
      <alignment horizontal="right" vertical="center" wrapText="1"/>
    </xf>
    <xf numFmtId="0" fontId="31" fillId="0" borderId="17" xfId="0" applyFont="1" applyFill="1" applyBorder="1" applyAlignment="1">
      <alignment horizontal="left" vertical="top" wrapText="1"/>
    </xf>
    <xf numFmtId="0" fontId="31" fillId="0" borderId="20" xfId="0" applyFont="1" applyFill="1" applyBorder="1" applyAlignment="1">
      <alignment horizontal="left" vertical="top" wrapText="1"/>
    </xf>
    <xf numFmtId="0" fontId="29" fillId="0" borderId="1" xfId="0" applyNumberFormat="1" applyFont="1" applyFill="1" applyBorder="1" applyAlignment="1">
      <alignment horizontal="center" vertical="center"/>
    </xf>
    <xf numFmtId="0" fontId="29" fillId="0" borderId="4" xfId="0" applyNumberFormat="1" applyFont="1" applyFill="1" applyBorder="1" applyAlignment="1">
      <alignment horizontal="center" vertical="center"/>
    </xf>
    <xf numFmtId="0" fontId="31" fillId="0" borderId="4" xfId="0" applyFont="1" applyFill="1" applyBorder="1" applyAlignment="1">
      <alignment horizontal="left" vertical="center" wrapText="1"/>
    </xf>
    <xf numFmtId="0" fontId="32" fillId="0" borderId="1" xfId="0" applyNumberFormat="1" applyFont="1" applyFill="1" applyBorder="1" applyAlignment="1">
      <alignment horizontal="center" vertical="center"/>
    </xf>
    <xf numFmtId="0" fontId="32" fillId="0" borderId="4" xfId="0" applyNumberFormat="1" applyFont="1" applyFill="1" applyBorder="1" applyAlignment="1">
      <alignment horizontal="center" vertical="center"/>
    </xf>
    <xf numFmtId="0" fontId="33" fillId="0" borderId="1" xfId="0" applyFont="1" applyFill="1" applyBorder="1" applyAlignment="1">
      <alignment horizontal="left" vertical="center" wrapText="1"/>
    </xf>
    <xf numFmtId="0" fontId="33" fillId="0" borderId="4" xfId="0" applyFont="1" applyFill="1" applyBorder="1" applyAlignment="1">
      <alignment horizontal="left" vertical="center" wrapText="1"/>
    </xf>
    <xf numFmtId="0" fontId="29" fillId="0" borderId="1" xfId="0" applyFont="1" applyFill="1" applyBorder="1" applyAlignment="1">
      <alignment horizontal="center" vertical="center"/>
    </xf>
    <xf numFmtId="0" fontId="29" fillId="0" borderId="4" xfId="0" applyFont="1" applyFill="1" applyBorder="1" applyAlignment="1">
      <alignment horizontal="center" vertical="center"/>
    </xf>
    <xf numFmtId="0" fontId="31" fillId="0" borderId="1" xfId="0" applyFont="1" applyFill="1" applyBorder="1" applyAlignment="1">
      <alignment vertical="center" wrapText="1"/>
    </xf>
    <xf numFmtId="0" fontId="31" fillId="0" borderId="3" xfId="0" applyFont="1" applyFill="1" applyBorder="1" applyAlignment="1">
      <alignment vertical="center" wrapText="1"/>
    </xf>
    <xf numFmtId="0" fontId="31" fillId="0" borderId="4" xfId="0" applyFont="1" applyFill="1" applyBorder="1" applyAlignment="1">
      <alignment vertical="center" wrapText="1"/>
    </xf>
    <xf numFmtId="0" fontId="33" fillId="0" borderId="1" xfId="0" applyFont="1" applyFill="1" applyBorder="1" applyAlignment="1">
      <alignment vertical="center" wrapText="1"/>
    </xf>
    <xf numFmtId="0" fontId="33" fillId="0" borderId="3" xfId="0" applyFont="1" applyFill="1" applyBorder="1" applyAlignment="1">
      <alignment vertical="center" wrapText="1"/>
    </xf>
    <xf numFmtId="0" fontId="33" fillId="0" borderId="4" xfId="0" applyFont="1" applyFill="1" applyBorder="1" applyAlignment="1">
      <alignment vertical="center" wrapText="1"/>
    </xf>
    <xf numFmtId="4" fontId="31" fillId="0" borderId="1" xfId="0" applyNumberFormat="1" applyFont="1" applyFill="1" applyBorder="1" applyAlignment="1">
      <alignment horizontal="center" vertical="center" wrapText="1"/>
    </xf>
    <xf numFmtId="4" fontId="31" fillId="0" borderId="8" xfId="0" applyNumberFormat="1" applyFont="1" applyFill="1" applyBorder="1" applyAlignment="1">
      <alignment horizontal="center" vertical="center" wrapText="1"/>
    </xf>
    <xf numFmtId="4" fontId="31" fillId="0" borderId="5" xfId="0" applyNumberFormat="1" applyFont="1" applyFill="1" applyBorder="1" applyAlignment="1">
      <alignment horizontal="center" vertical="center" wrapText="1"/>
    </xf>
    <xf numFmtId="4" fontId="31" fillId="0" borderId="2" xfId="0" applyNumberFormat="1" applyFont="1" applyFill="1" applyBorder="1" applyAlignment="1">
      <alignment horizontal="center" vertical="center" wrapText="1"/>
    </xf>
    <xf numFmtId="4" fontId="31" fillId="0" borderId="6" xfId="0" applyNumberFormat="1" applyFont="1" applyFill="1" applyBorder="1" applyAlignment="1">
      <alignment horizontal="center" vertical="center" wrapText="1"/>
    </xf>
    <xf numFmtId="4" fontId="31" fillId="0" borderId="11" xfId="0" applyNumberFormat="1" applyFont="1" applyFill="1" applyBorder="1" applyAlignment="1">
      <alignment horizontal="center" vertical="center" wrapText="1"/>
    </xf>
    <xf numFmtId="0" fontId="28" fillId="0" borderId="0" xfId="0" applyFont="1" applyFill="1" applyAlignment="1">
      <alignment horizontal="center" wrapText="1"/>
    </xf>
    <xf numFmtId="0" fontId="27" fillId="0" borderId="0" xfId="0" applyFont="1" applyFill="1" applyAlignment="1">
      <alignment horizontal="center" vertical="top" wrapText="1"/>
    </xf>
    <xf numFmtId="0" fontId="31" fillId="0" borderId="2" xfId="0" applyFont="1" applyFill="1" applyBorder="1" applyAlignment="1">
      <alignment horizontal="center" vertical="center" wrapText="1"/>
    </xf>
    <xf numFmtId="0" fontId="31" fillId="0" borderId="6"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31" fillId="0" borderId="5" xfId="0" applyFont="1" applyFill="1" applyBorder="1" applyAlignment="1">
      <alignment horizontal="center" vertical="center" wrapText="1"/>
    </xf>
    <xf numFmtId="0" fontId="31" fillId="0" borderId="1" xfId="0" applyFont="1" applyFill="1" applyBorder="1" applyAlignment="1">
      <alignment horizontal="left" vertical="top" wrapText="1"/>
    </xf>
    <xf numFmtId="0" fontId="31" fillId="0" borderId="4" xfId="0" applyFont="1" applyFill="1" applyBorder="1" applyAlignment="1">
      <alignment horizontal="left" vertical="top" wrapText="1"/>
    </xf>
    <xf numFmtId="0" fontId="30" fillId="0" borderId="1" xfId="0" applyFont="1" applyFill="1" applyBorder="1" applyAlignment="1">
      <alignment horizontal="center" vertical="center"/>
    </xf>
    <xf numFmtId="0" fontId="30" fillId="0" borderId="3" xfId="0" applyFont="1" applyFill="1" applyBorder="1" applyAlignment="1">
      <alignment horizontal="center" vertical="center"/>
    </xf>
    <xf numFmtId="0" fontId="30" fillId="0" borderId="4" xfId="0" applyFont="1" applyFill="1" applyBorder="1" applyAlignment="1">
      <alignment horizontal="center" vertical="center"/>
    </xf>
    <xf numFmtId="0" fontId="31" fillId="0" borderId="3" xfId="0" applyFont="1" applyFill="1" applyBorder="1" applyAlignment="1">
      <alignment horizontal="left" vertical="top" wrapText="1"/>
    </xf>
    <xf numFmtId="0" fontId="29" fillId="0" borderId="8" xfId="0" applyFont="1" applyFill="1" applyBorder="1" applyAlignment="1">
      <alignment horizontal="left" vertical="top" wrapText="1"/>
    </xf>
    <xf numFmtId="0" fontId="29" fillId="0" borderId="14" xfId="0" applyFont="1" applyFill="1" applyBorder="1" applyAlignment="1">
      <alignment horizontal="left" vertical="top" wrapText="1"/>
    </xf>
    <xf numFmtId="0" fontId="29" fillId="0" borderId="11" xfId="0" applyFont="1" applyFill="1" applyBorder="1" applyAlignment="1">
      <alignment horizontal="left" vertical="top" wrapText="1"/>
    </xf>
    <xf numFmtId="0" fontId="29" fillId="0" borderId="12" xfId="0" applyFont="1" applyFill="1" applyBorder="1" applyAlignment="1">
      <alignment horizontal="left" vertical="top" wrapText="1"/>
    </xf>
    <xf numFmtId="0" fontId="29" fillId="0" borderId="5" xfId="0" applyFont="1" applyFill="1" applyBorder="1" applyAlignment="1">
      <alignment horizontal="left" vertical="top" wrapText="1"/>
    </xf>
    <xf numFmtId="0" fontId="29" fillId="0" borderId="13" xfId="0" applyFont="1" applyFill="1" applyBorder="1" applyAlignment="1">
      <alignment horizontal="left" vertical="top" wrapText="1"/>
    </xf>
    <xf numFmtId="0" fontId="29" fillId="0" borderId="1" xfId="0" applyFont="1" applyFill="1" applyBorder="1" applyAlignment="1">
      <alignment horizontal="left" vertical="center" wrapText="1"/>
    </xf>
    <xf numFmtId="0" fontId="29" fillId="0" borderId="4" xfId="0" applyFont="1" applyFill="1" applyBorder="1" applyAlignment="1">
      <alignment horizontal="left" vertical="center" wrapText="1"/>
    </xf>
    <xf numFmtId="49" fontId="31" fillId="0" borderId="1" xfId="0" applyNumberFormat="1" applyFont="1" applyFill="1" applyBorder="1" applyAlignment="1">
      <alignment horizontal="center" vertical="center" wrapText="1"/>
    </xf>
    <xf numFmtId="49" fontId="31" fillId="0" borderId="4" xfId="0" applyNumberFormat="1" applyFont="1" applyFill="1" applyBorder="1" applyAlignment="1">
      <alignment horizontal="center" vertical="center" wrapText="1"/>
    </xf>
    <xf numFmtId="0" fontId="33" fillId="0" borderId="2" xfId="0" applyFont="1" applyFill="1" applyBorder="1" applyAlignment="1">
      <alignment horizontal="left" vertical="center" wrapText="1"/>
    </xf>
    <xf numFmtId="0" fontId="32" fillId="0" borderId="1" xfId="0" applyFont="1" applyFill="1" applyBorder="1" applyAlignment="1">
      <alignment horizontal="center" vertical="center"/>
    </xf>
    <xf numFmtId="0" fontId="32" fillId="0" borderId="4" xfId="0" applyFont="1" applyFill="1" applyBorder="1" applyAlignment="1">
      <alignment horizontal="center" vertical="center"/>
    </xf>
    <xf numFmtId="0" fontId="29" fillId="0" borderId="1" xfId="0" applyFont="1" applyFill="1" applyBorder="1" applyAlignment="1">
      <alignment horizontal="left" vertical="top" wrapText="1"/>
    </xf>
    <xf numFmtId="0" fontId="29" fillId="0" borderId="3" xfId="0" applyFont="1" applyFill="1" applyBorder="1" applyAlignment="1">
      <alignment horizontal="left" vertical="top" wrapText="1"/>
    </xf>
    <xf numFmtId="0" fontId="29" fillId="0" borderId="4" xfId="0" applyFont="1" applyFill="1" applyBorder="1" applyAlignment="1">
      <alignment horizontal="left" vertical="top" wrapText="1"/>
    </xf>
    <xf numFmtId="0" fontId="29" fillId="0" borderId="2" xfId="0" applyNumberFormat="1" applyFont="1" applyFill="1" applyBorder="1" applyAlignment="1">
      <alignment horizontal="center" vertical="center" wrapText="1"/>
    </xf>
    <xf numFmtId="0" fontId="33" fillId="0" borderId="1" xfId="0" applyFont="1" applyFill="1" applyBorder="1" applyAlignment="1">
      <alignment horizontal="left" vertical="top" wrapText="1"/>
    </xf>
    <xf numFmtId="0" fontId="33" fillId="0" borderId="3" xfId="0" applyFont="1" applyFill="1" applyBorder="1" applyAlignment="1">
      <alignment horizontal="left" vertical="top" wrapText="1"/>
    </xf>
    <xf numFmtId="0" fontId="33" fillId="0" borderId="4" xfId="0" applyFont="1" applyFill="1" applyBorder="1" applyAlignment="1">
      <alignment horizontal="left" vertical="top" wrapText="1"/>
    </xf>
    <xf numFmtId="0" fontId="29" fillId="0" borderId="1" xfId="0" applyFont="1" applyFill="1" applyBorder="1" applyAlignment="1">
      <alignment horizontal="center" vertical="top" wrapText="1"/>
    </xf>
    <xf numFmtId="0" fontId="29" fillId="0" borderId="3" xfId="0" applyFont="1" applyFill="1" applyBorder="1" applyAlignment="1">
      <alignment horizontal="center" vertical="top" wrapText="1"/>
    </xf>
    <xf numFmtId="0" fontId="29" fillId="0" borderId="4" xfId="0" applyFont="1" applyFill="1" applyBorder="1" applyAlignment="1">
      <alignment horizontal="center" vertical="top" wrapText="1"/>
    </xf>
    <xf numFmtId="0" fontId="29" fillId="0" borderId="1" xfId="0" applyFont="1" applyFill="1" applyBorder="1" applyAlignment="1">
      <alignment vertical="center" wrapText="1"/>
    </xf>
    <xf numFmtId="0" fontId="29" fillId="0" borderId="3" xfId="0" applyFont="1" applyFill="1" applyBorder="1" applyAlignment="1">
      <alignment vertical="center" wrapText="1"/>
    </xf>
    <xf numFmtId="0" fontId="29" fillId="0" borderId="4" xfId="0" applyFont="1" applyFill="1" applyBorder="1" applyAlignment="1">
      <alignment vertical="center" wrapText="1"/>
    </xf>
    <xf numFmtId="0" fontId="32" fillId="0" borderId="1" xfId="0" applyFont="1" applyFill="1" applyBorder="1" applyAlignment="1">
      <alignment horizontal="left" vertical="center" wrapText="1"/>
    </xf>
    <xf numFmtId="0" fontId="32" fillId="0" borderId="4" xfId="0" applyFont="1" applyFill="1" applyBorder="1" applyAlignment="1">
      <alignment horizontal="left" vertical="center" wrapText="1"/>
    </xf>
    <xf numFmtId="0" fontId="33" fillId="0" borderId="1" xfId="0" applyFont="1" applyFill="1" applyBorder="1" applyAlignment="1">
      <alignment vertical="top" wrapText="1"/>
    </xf>
    <xf numFmtId="0" fontId="33" fillId="0" borderId="3" xfId="0" applyFont="1" applyFill="1" applyBorder="1" applyAlignment="1">
      <alignment vertical="top" wrapText="1"/>
    </xf>
    <xf numFmtId="0" fontId="33" fillId="0" borderId="4" xfId="0" applyFont="1" applyFill="1" applyBorder="1" applyAlignment="1">
      <alignment vertical="top" wrapText="1"/>
    </xf>
    <xf numFmtId="0" fontId="29" fillId="0" borderId="14" xfId="0" applyFont="1" applyFill="1" applyBorder="1" applyAlignment="1">
      <alignment horizontal="left" vertical="center" wrapText="1"/>
    </xf>
    <xf numFmtId="0" fontId="29" fillId="0" borderId="12" xfId="0" applyFont="1" applyFill="1" applyBorder="1" applyAlignment="1">
      <alignment horizontal="left" vertical="center" wrapText="1"/>
    </xf>
    <xf numFmtId="0" fontId="29" fillId="0" borderId="13" xfId="0" applyFont="1" applyFill="1" applyBorder="1" applyAlignment="1">
      <alignment horizontal="left" vertical="center" wrapText="1"/>
    </xf>
  </cellXfs>
  <cellStyles count="2">
    <cellStyle name="Обычный" xfId="0" builtinId="0"/>
    <cellStyle name="Обычный 2" xfId="1"/>
  </cellStyles>
  <dxfs count="6">
    <dxf>
      <fill>
        <patternFill>
          <bgColor indexed="31"/>
        </patternFill>
      </fill>
      <border>
        <left style="thin">
          <color indexed="22"/>
        </left>
        <right style="thin">
          <color indexed="22"/>
        </right>
        <top style="thin">
          <color indexed="22"/>
        </top>
        <bottom style="thin">
          <color indexed="22"/>
        </bottom>
      </border>
    </dxf>
    <dxf>
      <fill>
        <patternFill>
          <bgColor indexed="31"/>
        </patternFill>
      </fill>
      <border>
        <left style="thin">
          <color indexed="23"/>
        </left>
        <right style="thin">
          <color indexed="23"/>
        </right>
        <top style="thin">
          <color indexed="23"/>
        </top>
        <bottom style="thin">
          <color indexed="23"/>
        </bottom>
      </border>
    </dxf>
    <dxf>
      <fill>
        <patternFill>
          <bgColor indexed="45"/>
        </patternFill>
      </fill>
      <border>
        <left style="thin">
          <color indexed="29"/>
        </left>
        <right style="thin">
          <color indexed="29"/>
        </right>
        <top style="thin">
          <color indexed="29"/>
        </top>
        <bottom style="thin">
          <color indexed="29"/>
        </bottom>
      </border>
    </dxf>
    <dxf>
      <fill>
        <patternFill>
          <bgColor indexed="31"/>
        </patternFill>
      </fill>
      <border>
        <left style="thin">
          <color indexed="22"/>
        </left>
        <right style="thin">
          <color indexed="22"/>
        </right>
        <top style="thin">
          <color indexed="22"/>
        </top>
        <bottom style="thin">
          <color indexed="22"/>
        </bottom>
      </border>
    </dxf>
    <dxf>
      <fill>
        <patternFill>
          <bgColor indexed="31"/>
        </patternFill>
      </fill>
      <border>
        <left style="thin">
          <color indexed="23"/>
        </left>
        <right style="thin">
          <color indexed="23"/>
        </right>
        <top style="thin">
          <color indexed="23"/>
        </top>
        <bottom style="thin">
          <color indexed="23"/>
        </bottom>
      </border>
    </dxf>
    <dxf>
      <fill>
        <patternFill>
          <bgColor indexed="45"/>
        </patternFill>
      </fill>
      <border>
        <left style="thin">
          <color indexed="29"/>
        </left>
        <right style="thin">
          <color indexed="29"/>
        </right>
        <top style="thin">
          <color indexed="29"/>
        </top>
        <bottom style="thin">
          <color indexed="29"/>
        </bottom>
      </border>
    </dxf>
  </dxfs>
  <tableStyles count="0" defaultTableStyle="TableStyleMedium2" defaultPivotStyle="PivotStyleLight16"/>
  <colors>
    <mruColors>
      <color rgb="FFFFCCCC"/>
      <color rgb="FFE852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571500</xdr:colOff>
      <xdr:row>0</xdr:row>
      <xdr:rowOff>54429</xdr:rowOff>
    </xdr:from>
    <xdr:to>
      <xdr:col>15</xdr:col>
      <xdr:colOff>952498</xdr:colOff>
      <xdr:row>3</xdr:row>
      <xdr:rowOff>13607</xdr:rowOff>
    </xdr:to>
    <xdr:sp macro="" textlink="">
      <xdr:nvSpPr>
        <xdr:cNvPr id="1025" name="TextBox 1"/>
        <xdr:cNvSpPr txBox="1">
          <a:spLocks noChangeArrowheads="1"/>
        </xdr:cNvSpPr>
      </xdr:nvSpPr>
      <xdr:spPr bwMode="auto">
        <a:xfrm>
          <a:off x="11391900" y="54429"/>
          <a:ext cx="5600698" cy="6798128"/>
        </a:xfrm>
        <a:prstGeom prst="rect">
          <a:avLst/>
        </a:prstGeom>
        <a:noFill/>
        <a:ln w="9525">
          <a:noFill/>
          <a:miter lim="800000"/>
          <a:headEnd/>
          <a:tailEnd/>
        </a:ln>
      </xdr:spPr>
      <xdr:txBody>
        <a:bodyPr vertOverflow="clip" wrap="square" lIns="36576" tIns="32004" rIns="36576" bIns="0" anchor="t" upright="1"/>
        <a:lstStyle/>
        <a:p>
          <a:pPr algn="ctr" rtl="0">
            <a:defRPr sz="1000"/>
          </a:pPr>
          <a:r>
            <a:rPr lang="ru-RU" sz="2600" b="0" i="0" u="none" strike="noStrike" baseline="0">
              <a:solidFill>
                <a:srgbClr val="000000"/>
              </a:solidFill>
              <a:latin typeface="Times New Roman" panose="02020603050405020304" pitchFamily="18" charset="0"/>
              <a:cs typeface="Times New Roman" panose="02020603050405020304" pitchFamily="18" charset="0"/>
            </a:rPr>
            <a:t>Приложение №</a:t>
          </a:r>
          <a:r>
            <a:rPr lang="en-US" sz="2600" b="0" i="0" u="none" strike="noStrike" baseline="0">
              <a:solidFill>
                <a:srgbClr val="000000"/>
              </a:solidFill>
              <a:latin typeface="Times New Roman" panose="02020603050405020304" pitchFamily="18" charset="0"/>
              <a:cs typeface="Times New Roman" panose="02020603050405020304" pitchFamily="18" charset="0"/>
            </a:rPr>
            <a:t> 4</a:t>
          </a:r>
          <a:endParaRPr lang="ru-RU" sz="2600" b="0" i="0" u="none" strike="noStrike" baseline="0">
            <a:solidFill>
              <a:srgbClr val="000000"/>
            </a:solidFill>
            <a:latin typeface="Times New Roman" panose="02020603050405020304" pitchFamily="18" charset="0"/>
            <a:cs typeface="Times New Roman" panose="02020603050405020304" pitchFamily="18" charset="0"/>
          </a:endParaRPr>
        </a:p>
        <a:p>
          <a:pPr algn="ctr" rtl="0">
            <a:defRPr sz="1000"/>
          </a:pPr>
          <a:r>
            <a:rPr lang="ru-RU" sz="2600" b="0" i="0" u="none" strike="noStrike" baseline="0">
              <a:solidFill>
                <a:srgbClr val="000000"/>
              </a:solidFill>
              <a:latin typeface="Times New Roman" panose="02020603050405020304" pitchFamily="18" charset="0"/>
              <a:cs typeface="Times New Roman" panose="02020603050405020304" pitchFamily="18" charset="0"/>
            </a:rPr>
            <a:t> </a:t>
          </a:r>
        </a:p>
        <a:p>
          <a:pPr algn="ctr" rtl="0">
            <a:defRPr sz="1000"/>
          </a:pPr>
          <a:r>
            <a:rPr lang="ru-RU" sz="2600" b="0" i="0" u="none" strike="noStrike" baseline="0">
              <a:solidFill>
                <a:srgbClr val="000000"/>
              </a:solidFill>
              <a:latin typeface="Times New Roman" panose="02020603050405020304" pitchFamily="18" charset="0"/>
              <a:cs typeface="Times New Roman" panose="02020603050405020304" pitchFamily="18" charset="0"/>
            </a:rPr>
            <a:t>к постановлению </a:t>
          </a:r>
        </a:p>
        <a:p>
          <a:pPr algn="ctr" rtl="0">
            <a:defRPr sz="1000"/>
          </a:pPr>
          <a:r>
            <a:rPr lang="ru-RU" sz="2600" b="0" i="0" u="none" strike="noStrike" baseline="0">
              <a:solidFill>
                <a:srgbClr val="000000"/>
              </a:solidFill>
              <a:latin typeface="Times New Roman" panose="02020603050405020304" pitchFamily="18" charset="0"/>
              <a:cs typeface="Times New Roman" panose="02020603050405020304" pitchFamily="18" charset="0"/>
            </a:rPr>
            <a:t>Администрации Приморского края</a:t>
          </a:r>
          <a:endParaRPr lang="en-US" sz="2600" b="0" i="0" u="none" strike="noStrike" baseline="0">
            <a:solidFill>
              <a:srgbClr val="000000"/>
            </a:solidFill>
            <a:latin typeface="Times New Roman" panose="02020603050405020304" pitchFamily="18" charset="0"/>
            <a:cs typeface="Times New Roman" panose="02020603050405020304" pitchFamily="18" charset="0"/>
          </a:endParaRPr>
        </a:p>
        <a:p>
          <a:pPr marL="0" indent="0" algn="ctr" rtl="0">
            <a:defRPr sz="1000"/>
          </a:pPr>
          <a:endParaRPr lang="en-US" sz="2600" b="0" i="0" u="none" strike="noStrike" baseline="0">
            <a:solidFill>
              <a:srgbClr val="000000"/>
            </a:solidFill>
            <a:latin typeface="Times New Roman" panose="02020603050405020304" pitchFamily="18" charset="0"/>
            <a:ea typeface="+mn-ea"/>
            <a:cs typeface="Times New Roman" panose="02020603050405020304" pitchFamily="18" charset="0"/>
          </a:endParaRPr>
        </a:p>
        <a:p>
          <a:pPr marL="0" indent="0" algn="ctr" rtl="0">
            <a:defRPr sz="1000"/>
          </a:pPr>
          <a:endParaRPr lang="en-US" sz="2600" b="0" i="0" u="none" strike="noStrike" baseline="0">
            <a:solidFill>
              <a:srgbClr val="000000"/>
            </a:solidFill>
            <a:latin typeface="Times New Roman" panose="02020603050405020304" pitchFamily="18" charset="0"/>
            <a:ea typeface="+mn-ea"/>
            <a:cs typeface="Times New Roman" panose="02020603050405020304" pitchFamily="18" charset="0"/>
          </a:endParaRPr>
        </a:p>
        <a:p>
          <a:pPr algn="ctr" rtl="0">
            <a:defRPr sz="1000"/>
          </a:pPr>
          <a:r>
            <a:rPr lang="ru-RU" sz="2600" b="0" i="0" baseline="0">
              <a:effectLst/>
              <a:latin typeface="Times New Roman" panose="02020603050405020304" pitchFamily="18" charset="0"/>
              <a:ea typeface="+mn-ea"/>
              <a:cs typeface="Times New Roman" panose="02020603050405020304" pitchFamily="18" charset="0"/>
            </a:rPr>
            <a:t>«</a:t>
          </a:r>
          <a:r>
            <a:rPr lang="ru-RU" sz="2600" b="0" i="0" u="none" strike="noStrike" baseline="0">
              <a:solidFill>
                <a:srgbClr val="000000"/>
              </a:solidFill>
              <a:latin typeface="Times New Roman" panose="02020603050405020304" pitchFamily="18" charset="0"/>
              <a:cs typeface="Times New Roman" panose="02020603050405020304" pitchFamily="18" charset="0"/>
            </a:rPr>
            <a:t>Приложение № 5</a:t>
          </a:r>
        </a:p>
        <a:p>
          <a:pPr algn="ctr" rtl="0">
            <a:defRPr sz="1000"/>
          </a:pPr>
          <a:endParaRPr lang="ru-RU" sz="2600" b="0" i="0" u="none" strike="noStrike" baseline="0">
            <a:solidFill>
              <a:srgbClr val="000000"/>
            </a:solidFill>
            <a:latin typeface="Times New Roman" panose="02020603050405020304" pitchFamily="18" charset="0"/>
            <a:cs typeface="Times New Roman" panose="02020603050405020304" pitchFamily="18" charset="0"/>
          </a:endParaRPr>
        </a:p>
        <a:p>
          <a:pPr algn="ctr" rtl="0">
            <a:defRPr sz="1000"/>
          </a:pPr>
          <a:r>
            <a:rPr lang="ru-RU" sz="2600" b="0" i="0" u="none" strike="noStrike" baseline="0">
              <a:solidFill>
                <a:srgbClr val="000000"/>
              </a:solidFill>
              <a:latin typeface="Times New Roman" panose="02020603050405020304" pitchFamily="18" charset="0"/>
              <a:cs typeface="Times New Roman" panose="02020603050405020304" pitchFamily="18" charset="0"/>
            </a:rPr>
            <a:t>к государственной программе  </a:t>
          </a:r>
        </a:p>
        <a:p>
          <a:pPr algn="ctr" rtl="0">
            <a:defRPr sz="1000"/>
          </a:pPr>
          <a:r>
            <a:rPr lang="ru-RU" sz="2600" b="0" i="0" u="none" strike="noStrike" baseline="0">
              <a:solidFill>
                <a:srgbClr val="000000"/>
              </a:solidFill>
              <a:latin typeface="Times New Roman" panose="02020603050405020304" pitchFamily="18" charset="0"/>
              <a:cs typeface="Times New Roman" panose="02020603050405020304" pitchFamily="18" charset="0"/>
            </a:rPr>
            <a:t>Приморского края </a:t>
          </a:r>
        </a:p>
        <a:p>
          <a:pPr algn="ctr" rtl="0">
            <a:defRPr sz="1000"/>
          </a:pPr>
          <a:r>
            <a:rPr lang="ru-RU" sz="2600" b="0" i="0" u="none" strike="noStrike" baseline="0">
              <a:solidFill>
                <a:srgbClr val="000000"/>
              </a:solidFill>
              <a:latin typeface="Times New Roman" panose="02020603050405020304" pitchFamily="18" charset="0"/>
              <a:cs typeface="Times New Roman" panose="02020603050405020304" pitchFamily="18" charset="0"/>
            </a:rPr>
            <a:t>«Информационное общество» </a:t>
          </a:r>
        </a:p>
        <a:p>
          <a:pPr algn="ctr" rtl="0">
            <a:defRPr sz="1000"/>
          </a:pPr>
          <a:r>
            <a:rPr lang="ru-RU" sz="2600" b="0" i="0" u="none" strike="noStrike" baseline="0">
              <a:solidFill>
                <a:srgbClr val="000000"/>
              </a:solidFill>
              <a:latin typeface="Times New Roman" panose="02020603050405020304" pitchFamily="18" charset="0"/>
              <a:cs typeface="Times New Roman" panose="02020603050405020304" pitchFamily="18" charset="0"/>
            </a:rPr>
            <a:t>на 2013 - 20</a:t>
          </a:r>
          <a:r>
            <a:rPr lang="en-US" sz="2600" b="0" i="0" u="none" strike="noStrike" baseline="0">
              <a:solidFill>
                <a:srgbClr val="000000"/>
              </a:solidFill>
              <a:latin typeface="Times New Roman" panose="02020603050405020304" pitchFamily="18" charset="0"/>
              <a:cs typeface="Times New Roman" panose="02020603050405020304" pitchFamily="18" charset="0"/>
            </a:rPr>
            <a:t>20</a:t>
          </a:r>
          <a:r>
            <a:rPr lang="ru-RU" sz="2600" b="0" i="0" u="none" strike="noStrike" baseline="0">
              <a:solidFill>
                <a:srgbClr val="000000"/>
              </a:solidFill>
              <a:latin typeface="Times New Roman" panose="02020603050405020304" pitchFamily="18" charset="0"/>
              <a:cs typeface="Times New Roman" panose="02020603050405020304" pitchFamily="18" charset="0"/>
            </a:rPr>
            <a:t> годы,  </a:t>
          </a:r>
        </a:p>
        <a:p>
          <a:pPr algn="ctr" rtl="0">
            <a:defRPr sz="1000"/>
          </a:pPr>
          <a:r>
            <a:rPr lang="ru-RU" sz="2600" b="0" i="0" u="none" strike="noStrike" baseline="0">
              <a:solidFill>
                <a:srgbClr val="000000"/>
              </a:solidFill>
              <a:latin typeface="Times New Roman" panose="02020603050405020304" pitchFamily="18" charset="0"/>
              <a:cs typeface="Times New Roman" panose="02020603050405020304" pitchFamily="18" charset="0"/>
            </a:rPr>
            <a:t>утвержденной постановлением </a:t>
          </a:r>
        </a:p>
        <a:p>
          <a:pPr algn="ctr" rtl="0">
            <a:defRPr sz="1000"/>
          </a:pPr>
          <a:r>
            <a:rPr lang="ru-RU" sz="2600" b="0" i="0" u="none" strike="noStrike" baseline="0">
              <a:solidFill>
                <a:srgbClr val="000000"/>
              </a:solidFill>
              <a:latin typeface="Times New Roman" panose="02020603050405020304" pitchFamily="18" charset="0"/>
              <a:cs typeface="Times New Roman" panose="02020603050405020304" pitchFamily="18" charset="0"/>
            </a:rPr>
            <a:t>Администрации Приморского края </a:t>
          </a:r>
        </a:p>
        <a:p>
          <a:pPr algn="ctr" rtl="0">
            <a:defRPr sz="1000"/>
          </a:pPr>
          <a:r>
            <a:rPr lang="ru-RU" sz="2600" b="0" i="0" u="none" strike="noStrike" baseline="0">
              <a:solidFill>
                <a:srgbClr val="000000"/>
              </a:solidFill>
              <a:latin typeface="Times New Roman" panose="02020603050405020304" pitchFamily="18" charset="0"/>
              <a:cs typeface="Times New Roman" panose="02020603050405020304" pitchFamily="18" charset="0"/>
            </a:rPr>
            <a:t>от 07.12.2012 № 385-па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993322</xdr:colOff>
      <xdr:row>0</xdr:row>
      <xdr:rowOff>0</xdr:rowOff>
    </xdr:from>
    <xdr:to>
      <xdr:col>12</xdr:col>
      <xdr:colOff>805223</xdr:colOff>
      <xdr:row>2</xdr:row>
      <xdr:rowOff>95250</xdr:rowOff>
    </xdr:to>
    <xdr:sp macro="" textlink="">
      <xdr:nvSpPr>
        <xdr:cNvPr id="3" name="TextBox 1"/>
        <xdr:cNvSpPr txBox="1">
          <a:spLocks noChangeArrowheads="1"/>
        </xdr:cNvSpPr>
      </xdr:nvSpPr>
      <xdr:spPr bwMode="auto">
        <a:xfrm>
          <a:off x="10531929" y="0"/>
          <a:ext cx="4737687" cy="5402036"/>
        </a:xfrm>
        <a:prstGeom prst="rect">
          <a:avLst/>
        </a:prstGeom>
        <a:noFill/>
        <a:ln w="9525">
          <a:noFill/>
          <a:miter lim="800000"/>
          <a:headEnd/>
          <a:tailEnd/>
        </a:ln>
      </xdr:spPr>
      <xdr:txBody>
        <a:bodyPr vertOverflow="clip" wrap="square" lIns="36576" tIns="32004" rIns="36576" bIns="0" anchor="t" upright="1"/>
        <a:lstStyle/>
        <a:p>
          <a:pPr algn="ctr" rtl="0">
            <a:defRPr sz="1000"/>
          </a:pPr>
          <a:r>
            <a:rPr lang="ru-RU" sz="2400" b="0" i="0" u="none" strike="noStrike" baseline="0">
              <a:solidFill>
                <a:srgbClr val="000000"/>
              </a:solidFill>
              <a:latin typeface="Times New Roman"/>
              <a:cs typeface="Times New Roman"/>
            </a:rPr>
            <a:t>Приложение №</a:t>
          </a:r>
          <a:r>
            <a:rPr lang="en-US" sz="2400" b="0" i="0" u="none" strike="noStrike" baseline="0">
              <a:solidFill>
                <a:srgbClr val="000000"/>
              </a:solidFill>
              <a:latin typeface="Times New Roman"/>
              <a:cs typeface="Times New Roman"/>
            </a:rPr>
            <a:t> 5</a:t>
          </a:r>
          <a:endParaRPr lang="ru-RU" sz="2400" b="0" i="0" u="none" strike="noStrike" baseline="0">
            <a:solidFill>
              <a:srgbClr val="000000"/>
            </a:solidFill>
            <a:latin typeface="Times New Roman"/>
            <a:cs typeface="Times New Roman"/>
          </a:endParaRPr>
        </a:p>
        <a:p>
          <a:pPr algn="ctr" rtl="0">
            <a:defRPr sz="1000"/>
          </a:pPr>
          <a:r>
            <a:rPr lang="ru-RU" sz="2400" b="0" i="0" u="none" strike="noStrike" baseline="0">
              <a:solidFill>
                <a:srgbClr val="000000"/>
              </a:solidFill>
              <a:latin typeface="Times New Roman"/>
              <a:cs typeface="Times New Roman"/>
            </a:rPr>
            <a:t> </a:t>
          </a:r>
        </a:p>
        <a:p>
          <a:pPr algn="ctr" rtl="0">
            <a:defRPr sz="1000"/>
          </a:pPr>
          <a:r>
            <a:rPr lang="ru-RU" sz="2400" b="0" i="0" u="none" strike="noStrike" baseline="0">
              <a:solidFill>
                <a:srgbClr val="000000"/>
              </a:solidFill>
              <a:latin typeface="Times New Roman"/>
              <a:cs typeface="Times New Roman"/>
            </a:rPr>
            <a:t>к постановлению </a:t>
          </a:r>
        </a:p>
        <a:p>
          <a:pPr algn="ctr" rtl="0">
            <a:defRPr sz="1000"/>
          </a:pPr>
          <a:r>
            <a:rPr lang="ru-RU" sz="2400" b="0" i="0" u="none" strike="noStrike" baseline="0">
              <a:solidFill>
                <a:srgbClr val="000000"/>
              </a:solidFill>
              <a:latin typeface="Times New Roman"/>
              <a:cs typeface="Times New Roman"/>
            </a:rPr>
            <a:t>Администрации Приморского края </a:t>
          </a:r>
        </a:p>
        <a:p>
          <a:pPr marL="0" indent="0" algn="ctr" rtl="0">
            <a:defRPr sz="1000"/>
          </a:pPr>
          <a:r>
            <a:rPr lang="ru-RU" sz="2400" b="0" i="0" u="none" strike="noStrike" baseline="0">
              <a:solidFill>
                <a:srgbClr val="000000"/>
              </a:solidFill>
              <a:latin typeface="Times New Roman"/>
              <a:ea typeface="+mn-ea"/>
              <a:cs typeface="Times New Roman"/>
            </a:rPr>
            <a:t> </a:t>
          </a:r>
        </a:p>
        <a:p>
          <a:pPr algn="ctr" rtl="0">
            <a:defRPr sz="1000"/>
          </a:pPr>
          <a:endParaRPr lang="en-US" sz="2400" b="0" i="0" u="none" strike="noStrike" baseline="0">
            <a:solidFill>
              <a:srgbClr val="000000"/>
            </a:solidFill>
            <a:latin typeface="Times New Roman"/>
            <a:cs typeface="Times New Roman"/>
          </a:endParaRPr>
        </a:p>
        <a:p>
          <a:pPr algn="ctr" rtl="0">
            <a:defRPr sz="1000"/>
          </a:pPr>
          <a:r>
            <a:rPr lang="ru-RU" sz="2400" b="0" i="0" baseline="0">
              <a:effectLst/>
              <a:latin typeface="+mn-lt"/>
              <a:ea typeface="+mn-ea"/>
              <a:cs typeface="+mn-cs"/>
            </a:rPr>
            <a:t>«</a:t>
          </a:r>
          <a:r>
            <a:rPr lang="ru-RU" sz="2400" b="0" i="0" u="none" strike="noStrike" baseline="0">
              <a:solidFill>
                <a:srgbClr val="000000"/>
              </a:solidFill>
              <a:latin typeface="Times New Roman"/>
              <a:cs typeface="Times New Roman"/>
            </a:rPr>
            <a:t>Приложение № 6</a:t>
          </a:r>
        </a:p>
        <a:p>
          <a:pPr algn="ctr" rtl="0">
            <a:defRPr sz="1000"/>
          </a:pPr>
          <a:endParaRPr lang="ru-RU" sz="2400" b="0" i="0" u="none" strike="noStrike" baseline="0">
            <a:solidFill>
              <a:srgbClr val="000000"/>
            </a:solidFill>
            <a:latin typeface="Times New Roman"/>
            <a:cs typeface="Times New Roman"/>
          </a:endParaRPr>
        </a:p>
        <a:p>
          <a:pPr algn="ctr" rtl="0">
            <a:defRPr sz="1000"/>
          </a:pPr>
          <a:r>
            <a:rPr lang="ru-RU" sz="2400" b="0" i="0" u="none" strike="noStrike" baseline="0">
              <a:solidFill>
                <a:srgbClr val="000000"/>
              </a:solidFill>
              <a:latin typeface="Times New Roman"/>
              <a:cs typeface="Times New Roman"/>
            </a:rPr>
            <a:t>к государственной программе  </a:t>
          </a:r>
        </a:p>
        <a:p>
          <a:pPr algn="ctr" rtl="0">
            <a:defRPr sz="1000"/>
          </a:pPr>
          <a:r>
            <a:rPr lang="ru-RU" sz="2400" b="0" i="0" u="none" strike="noStrike" baseline="0">
              <a:solidFill>
                <a:srgbClr val="000000"/>
              </a:solidFill>
              <a:latin typeface="Times New Roman"/>
              <a:cs typeface="Times New Roman"/>
            </a:rPr>
            <a:t>Приморского края </a:t>
          </a:r>
        </a:p>
        <a:p>
          <a:pPr algn="ctr" rtl="0">
            <a:defRPr sz="1000"/>
          </a:pPr>
          <a:r>
            <a:rPr lang="ru-RU" sz="2400" b="0" i="0" u="none" strike="noStrike" baseline="0">
              <a:solidFill>
                <a:srgbClr val="000000"/>
              </a:solidFill>
              <a:latin typeface="Times New Roman"/>
              <a:cs typeface="Times New Roman"/>
            </a:rPr>
            <a:t>«Информационное общество» </a:t>
          </a:r>
        </a:p>
        <a:p>
          <a:pPr algn="ctr" rtl="0">
            <a:defRPr sz="1000"/>
          </a:pPr>
          <a:r>
            <a:rPr lang="ru-RU" sz="2400" b="0" i="0" u="none" strike="noStrike" baseline="0">
              <a:solidFill>
                <a:srgbClr val="000000"/>
              </a:solidFill>
              <a:latin typeface="Times New Roman"/>
              <a:cs typeface="Times New Roman"/>
            </a:rPr>
            <a:t>на 2013 - 20</a:t>
          </a:r>
          <a:r>
            <a:rPr lang="en-US" sz="2400" b="0" i="0" u="none" strike="noStrike" baseline="0">
              <a:solidFill>
                <a:srgbClr val="000000"/>
              </a:solidFill>
              <a:latin typeface="Times New Roman"/>
              <a:cs typeface="Times New Roman"/>
            </a:rPr>
            <a:t>20</a:t>
          </a:r>
          <a:r>
            <a:rPr lang="ru-RU" sz="2400" b="0" i="0" u="none" strike="noStrike" baseline="0">
              <a:solidFill>
                <a:srgbClr val="000000"/>
              </a:solidFill>
              <a:latin typeface="Times New Roman"/>
              <a:cs typeface="Times New Roman"/>
            </a:rPr>
            <a:t> годы,  </a:t>
          </a:r>
        </a:p>
        <a:p>
          <a:pPr algn="ctr" rtl="0">
            <a:defRPr sz="1000"/>
          </a:pPr>
          <a:r>
            <a:rPr lang="ru-RU" sz="2400" b="0" i="0" u="none" strike="noStrike" baseline="0">
              <a:solidFill>
                <a:srgbClr val="000000"/>
              </a:solidFill>
              <a:latin typeface="Times New Roman"/>
              <a:cs typeface="Times New Roman"/>
            </a:rPr>
            <a:t>утвержденной постановлением </a:t>
          </a:r>
        </a:p>
        <a:p>
          <a:pPr algn="ctr" rtl="0">
            <a:defRPr sz="1000"/>
          </a:pPr>
          <a:r>
            <a:rPr lang="ru-RU" sz="2400" b="0" i="0" u="none" strike="noStrike" baseline="0">
              <a:solidFill>
                <a:srgbClr val="000000"/>
              </a:solidFill>
              <a:latin typeface="Times New Roman"/>
              <a:cs typeface="Times New Roman"/>
            </a:rPr>
            <a:t>Администрации Приморского края </a:t>
          </a:r>
        </a:p>
        <a:p>
          <a:pPr algn="ctr" rtl="0">
            <a:defRPr sz="1000"/>
          </a:pPr>
          <a:r>
            <a:rPr lang="ru-RU" sz="2400" b="0" i="0" u="none" strike="noStrike" baseline="0">
              <a:solidFill>
                <a:srgbClr val="000000"/>
              </a:solidFill>
              <a:latin typeface="Times New Roman"/>
              <a:cs typeface="Times New Roman"/>
            </a:rPr>
            <a:t>от 07.12.2012 № 385-па</a:t>
          </a: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67"/>
  <sheetViews>
    <sheetView view="pageBreakPreview" topLeftCell="A237" zoomScale="90" zoomScaleNormal="70" zoomScaleSheetLayoutView="90" zoomScalePageLayoutView="82" workbookViewId="0">
      <selection activeCell="B242" sqref="B242"/>
    </sheetView>
  </sheetViews>
  <sheetFormatPr defaultRowHeight="15" x14ac:dyDescent="0.25"/>
  <cols>
    <col min="1" max="1" width="6.77734375" style="1" customWidth="1"/>
    <col min="2" max="2" width="35.44140625" style="2" customWidth="1"/>
    <col min="3" max="3" width="21.6640625" style="2" customWidth="1"/>
    <col min="4" max="4" width="5.21875" style="2" customWidth="1"/>
    <col min="5" max="5" width="5.33203125" style="2" customWidth="1"/>
    <col min="6" max="6" width="10.88671875" style="2" customWidth="1"/>
    <col min="7" max="7" width="4.44140625" style="11" customWidth="1"/>
    <col min="8" max="8" width="12.21875" style="2" customWidth="1"/>
    <col min="9" max="9" width="12.77734375" style="2" customWidth="1"/>
    <col min="10" max="10" width="11.77734375" style="2" customWidth="1"/>
    <col min="11" max="11" width="13.6640625" style="2" customWidth="1"/>
    <col min="12" max="15" width="11.77734375" style="2" customWidth="1"/>
    <col min="16" max="16" width="11.5546875" style="3" customWidth="1"/>
    <col min="17" max="17" width="9.5546875" style="3" customWidth="1"/>
    <col min="18" max="18" width="9.5546875" style="3" bestFit="1" customWidth="1"/>
    <col min="19" max="19" width="9.77734375" style="3" customWidth="1"/>
    <col min="20" max="22" width="8.88671875" style="3"/>
    <col min="23" max="26" width="8.88671875" style="2"/>
    <col min="27" max="27" width="8.21875" style="2" customWidth="1"/>
    <col min="28" max="16384" width="8.88671875" style="2"/>
  </cols>
  <sheetData>
    <row r="1" spans="1:22" ht="26.25" customHeight="1" x14ac:dyDescent="0.3">
      <c r="J1" s="8"/>
      <c r="K1" s="8"/>
      <c r="L1" s="8"/>
      <c r="M1" s="8"/>
      <c r="N1" s="8"/>
      <c r="O1" s="8"/>
    </row>
    <row r="2" spans="1:22" ht="409.5" customHeight="1" x14ac:dyDescent="0.25"/>
    <row r="3" spans="1:22" ht="102" customHeight="1" x14ac:dyDescent="0.25"/>
    <row r="4" spans="1:22" s="129" customFormat="1" ht="40.5" customHeight="1" x14ac:dyDescent="0.3">
      <c r="A4" s="430" t="s">
        <v>138</v>
      </c>
      <c r="B4" s="430"/>
      <c r="C4" s="430"/>
      <c r="D4" s="430"/>
      <c r="E4" s="430"/>
      <c r="F4" s="430"/>
      <c r="G4" s="430"/>
      <c r="H4" s="430"/>
      <c r="I4" s="430"/>
      <c r="J4" s="430"/>
      <c r="K4" s="430"/>
      <c r="L4" s="430"/>
      <c r="M4" s="430"/>
      <c r="N4" s="430"/>
      <c r="O4" s="430"/>
      <c r="P4" s="430"/>
      <c r="Q4" s="7"/>
      <c r="R4" s="128"/>
      <c r="S4" s="128"/>
      <c r="T4" s="128"/>
      <c r="U4" s="128"/>
      <c r="V4" s="128"/>
    </row>
    <row r="5" spans="1:22" s="129" customFormat="1" ht="119.25" customHeight="1" x14ac:dyDescent="0.3">
      <c r="A5" s="431" t="s">
        <v>323</v>
      </c>
      <c r="B5" s="431"/>
      <c r="C5" s="431"/>
      <c r="D5" s="431"/>
      <c r="E5" s="431"/>
      <c r="F5" s="431"/>
      <c r="G5" s="431"/>
      <c r="H5" s="431"/>
      <c r="I5" s="431"/>
      <c r="J5" s="431"/>
      <c r="K5" s="431"/>
      <c r="L5" s="431"/>
      <c r="M5" s="431"/>
      <c r="N5" s="431"/>
      <c r="O5" s="431"/>
      <c r="P5" s="431"/>
      <c r="Q5" s="7"/>
      <c r="R5" s="128"/>
      <c r="S5" s="128"/>
      <c r="T5" s="128"/>
      <c r="U5" s="128"/>
      <c r="V5" s="128"/>
    </row>
    <row r="6" spans="1:22" s="129" customFormat="1" ht="12.75" customHeight="1" x14ac:dyDescent="0.3">
      <c r="A6" s="4"/>
      <c r="B6" s="5"/>
      <c r="C6" s="5"/>
      <c r="D6" s="6"/>
      <c r="E6" s="6"/>
      <c r="F6" s="6"/>
      <c r="G6" s="12"/>
      <c r="H6" s="6"/>
      <c r="I6" s="6"/>
      <c r="J6" s="6"/>
      <c r="K6" s="6"/>
      <c r="L6" s="6"/>
      <c r="M6" s="6"/>
      <c r="N6" s="6"/>
      <c r="O6" s="6"/>
      <c r="P6" s="7"/>
      <c r="Q6" s="7"/>
      <c r="R6" s="128"/>
      <c r="S6" s="128"/>
      <c r="T6" s="128"/>
      <c r="U6" s="128"/>
      <c r="V6" s="128"/>
    </row>
    <row r="7" spans="1:22" s="130" customFormat="1" ht="15.75" customHeight="1" x14ac:dyDescent="0.2">
      <c r="A7" s="26" t="s">
        <v>4</v>
      </c>
      <c r="B7" s="432" t="s">
        <v>316</v>
      </c>
      <c r="C7" s="26" t="s">
        <v>6</v>
      </c>
      <c r="D7" s="434" t="s">
        <v>9</v>
      </c>
      <c r="E7" s="439"/>
      <c r="F7" s="439"/>
      <c r="G7" s="440"/>
      <c r="H7" s="433" t="s">
        <v>10</v>
      </c>
      <c r="I7" s="433"/>
      <c r="J7" s="433"/>
      <c r="K7" s="433"/>
      <c r="L7" s="433"/>
      <c r="M7" s="433"/>
      <c r="N7" s="433"/>
      <c r="O7" s="433"/>
      <c r="P7" s="433"/>
      <c r="Q7" s="9"/>
      <c r="R7" s="3"/>
      <c r="S7" s="3"/>
      <c r="T7" s="3"/>
      <c r="U7" s="3"/>
      <c r="V7" s="3"/>
    </row>
    <row r="8" spans="1:22" s="130" customFormat="1" ht="23.25" customHeight="1" x14ac:dyDescent="0.2">
      <c r="A8" s="27" t="s">
        <v>5</v>
      </c>
      <c r="B8" s="402"/>
      <c r="C8" s="27" t="s">
        <v>7</v>
      </c>
      <c r="D8" s="441"/>
      <c r="E8" s="442"/>
      <c r="F8" s="442"/>
      <c r="G8" s="443"/>
      <c r="H8" s="433"/>
      <c r="I8" s="433"/>
      <c r="J8" s="433"/>
      <c r="K8" s="433"/>
      <c r="L8" s="433"/>
      <c r="M8" s="433"/>
      <c r="N8" s="433"/>
      <c r="O8" s="433"/>
      <c r="P8" s="433"/>
      <c r="Q8" s="9"/>
      <c r="R8" s="3"/>
      <c r="S8" s="3"/>
      <c r="T8" s="3"/>
      <c r="U8" s="3"/>
      <c r="V8" s="3"/>
    </row>
    <row r="9" spans="1:22" s="130" customFormat="1" ht="23.25" customHeight="1" x14ac:dyDescent="0.2">
      <c r="A9" s="135"/>
      <c r="B9" s="402"/>
      <c r="C9" s="27" t="s">
        <v>8</v>
      </c>
      <c r="D9" s="433" t="s">
        <v>11</v>
      </c>
      <c r="E9" s="136" t="s">
        <v>12</v>
      </c>
      <c r="F9" s="433" t="s">
        <v>14</v>
      </c>
      <c r="G9" s="438" t="s">
        <v>15</v>
      </c>
      <c r="H9" s="433">
        <v>2013</v>
      </c>
      <c r="I9" s="433">
        <v>2014</v>
      </c>
      <c r="J9" s="433">
        <v>2015</v>
      </c>
      <c r="K9" s="433">
        <v>2016</v>
      </c>
      <c r="L9" s="432">
        <v>2017</v>
      </c>
      <c r="M9" s="432">
        <v>2018</v>
      </c>
      <c r="N9" s="432">
        <v>2019</v>
      </c>
      <c r="O9" s="432">
        <v>2020</v>
      </c>
      <c r="P9" s="432" t="s">
        <v>321</v>
      </c>
      <c r="Q9" s="9"/>
      <c r="R9" s="3"/>
      <c r="S9" s="3"/>
      <c r="T9" s="3"/>
      <c r="U9" s="3"/>
      <c r="V9" s="3"/>
    </row>
    <row r="10" spans="1:22" s="130" customFormat="1" ht="30.75" customHeight="1" x14ac:dyDescent="0.2">
      <c r="A10" s="28"/>
      <c r="B10" s="403"/>
      <c r="C10" s="137"/>
      <c r="D10" s="433"/>
      <c r="E10" s="136" t="s">
        <v>13</v>
      </c>
      <c r="F10" s="433"/>
      <c r="G10" s="438"/>
      <c r="H10" s="433"/>
      <c r="I10" s="433"/>
      <c r="J10" s="433"/>
      <c r="K10" s="433"/>
      <c r="L10" s="403"/>
      <c r="M10" s="436"/>
      <c r="N10" s="436"/>
      <c r="O10" s="436"/>
      <c r="P10" s="403"/>
      <c r="Q10" s="9"/>
      <c r="R10" s="3"/>
      <c r="S10" s="3"/>
      <c r="T10" s="3"/>
      <c r="U10" s="3"/>
      <c r="V10" s="3"/>
    </row>
    <row r="11" spans="1:22" s="130" customFormat="1" ht="16.5" thickBot="1" x14ac:dyDescent="0.25">
      <c r="A11" s="136">
        <v>1</v>
      </c>
      <c r="B11" s="136">
        <v>2</v>
      </c>
      <c r="C11" s="136">
        <v>3</v>
      </c>
      <c r="D11" s="136">
        <v>4</v>
      </c>
      <c r="E11" s="26">
        <v>5</v>
      </c>
      <c r="F11" s="26">
        <v>6</v>
      </c>
      <c r="G11" s="138">
        <v>7</v>
      </c>
      <c r="H11" s="136">
        <v>8</v>
      </c>
      <c r="I11" s="136">
        <v>9</v>
      </c>
      <c r="J11" s="136">
        <v>10</v>
      </c>
      <c r="K11" s="136">
        <v>11</v>
      </c>
      <c r="L11" s="136">
        <v>12</v>
      </c>
      <c r="M11" s="136">
        <v>13</v>
      </c>
      <c r="N11" s="136">
        <v>14</v>
      </c>
      <c r="O11" s="136">
        <v>15</v>
      </c>
      <c r="P11" s="136">
        <v>16</v>
      </c>
      <c r="Q11" s="131"/>
      <c r="R11" s="131"/>
      <c r="S11" s="131"/>
      <c r="T11" s="131"/>
      <c r="U11" s="3"/>
      <c r="V11" s="3"/>
    </row>
    <row r="12" spans="1:22" s="10" customFormat="1" ht="50.1" customHeight="1" thickBot="1" x14ac:dyDescent="0.3">
      <c r="A12" s="434"/>
      <c r="B12" s="437" t="s">
        <v>382</v>
      </c>
      <c r="C12" s="389" t="s">
        <v>27</v>
      </c>
      <c r="D12" s="138" t="s">
        <v>294</v>
      </c>
      <c r="E12" s="139" t="s">
        <v>294</v>
      </c>
      <c r="F12" s="139" t="s">
        <v>294</v>
      </c>
      <c r="G12" s="139" t="s">
        <v>294</v>
      </c>
      <c r="H12" s="140">
        <f>SUM(H13:H21)</f>
        <v>911665.01</v>
      </c>
      <c r="I12" s="140">
        <f t="shared" ref="I12:O12" si="0">SUM(I13:I21)</f>
        <v>766787.03</v>
      </c>
      <c r="J12" s="140">
        <f t="shared" si="0"/>
        <v>882516.69192000001</v>
      </c>
      <c r="K12" s="140">
        <f t="shared" si="0"/>
        <v>896070.49173999997</v>
      </c>
      <c r="L12" s="140">
        <f t="shared" si="0"/>
        <v>631066.04300000006</v>
      </c>
      <c r="M12" s="140">
        <f t="shared" si="0"/>
        <v>629525.40300000005</v>
      </c>
      <c r="N12" s="140">
        <f t="shared" si="0"/>
        <v>629525.40300000005</v>
      </c>
      <c r="O12" s="140">
        <f t="shared" si="0"/>
        <v>629525.40300000005</v>
      </c>
      <c r="P12" s="140">
        <f>SUM(H12:O12)</f>
        <v>5976681.47566</v>
      </c>
      <c r="Q12" s="9"/>
      <c r="R12" s="3"/>
      <c r="S12" s="3"/>
      <c r="T12" s="3"/>
      <c r="U12" s="3"/>
      <c r="V12" s="3"/>
    </row>
    <row r="13" spans="1:22" s="10" customFormat="1" ht="85.5" customHeight="1" thickBot="1" x14ac:dyDescent="0.3">
      <c r="A13" s="435"/>
      <c r="B13" s="437"/>
      <c r="C13" s="141" t="s">
        <v>22</v>
      </c>
      <c r="D13" s="142" t="s">
        <v>35</v>
      </c>
      <c r="E13" s="139" t="s">
        <v>294</v>
      </c>
      <c r="F13" s="139" t="s">
        <v>294</v>
      </c>
      <c r="G13" s="139" t="s">
        <v>294</v>
      </c>
      <c r="H13" s="143">
        <f>H23+H67+H101+H142+H165</f>
        <v>395824.01</v>
      </c>
      <c r="I13" s="143">
        <f>I23+I67+I101+I142+I165</f>
        <v>266889.8</v>
      </c>
      <c r="J13" s="143">
        <f>J23+J67+J101+J142+J165</f>
        <v>541536.46892000001</v>
      </c>
      <c r="K13" s="143">
        <f>K24+K68+K101+K143+K165</f>
        <v>530477.23</v>
      </c>
      <c r="L13" s="143">
        <f>L24+L68+L101+L143+L165</f>
        <v>325969.77</v>
      </c>
      <c r="M13" s="143">
        <f>M24+M68+M101+M143+M165</f>
        <v>324429.13</v>
      </c>
      <c r="N13" s="143">
        <f>N24+N68+N101+N143+N165</f>
        <v>324429.13</v>
      </c>
      <c r="O13" s="143">
        <f>O24+O68+O101+O143+O165</f>
        <v>324429.13</v>
      </c>
      <c r="P13" s="143">
        <f>SUM(H13:L13)</f>
        <v>2060697.27892</v>
      </c>
      <c r="R13" s="3"/>
      <c r="S13" s="3"/>
      <c r="T13" s="3"/>
      <c r="U13" s="3"/>
      <c r="V13" s="3"/>
    </row>
    <row r="14" spans="1:22" s="10" customFormat="1" ht="78" customHeight="1" thickBot="1" x14ac:dyDescent="0.3">
      <c r="A14" s="435"/>
      <c r="B14" s="437"/>
      <c r="C14" s="141" t="s">
        <v>154</v>
      </c>
      <c r="D14" s="142" t="s">
        <v>257</v>
      </c>
      <c r="E14" s="139" t="s">
        <v>294</v>
      </c>
      <c r="F14" s="139" t="s">
        <v>294</v>
      </c>
      <c r="G14" s="139" t="s">
        <v>294</v>
      </c>
      <c r="H14" s="143"/>
      <c r="I14" s="143"/>
      <c r="J14" s="143"/>
      <c r="K14" s="143">
        <f>K166</f>
        <v>0</v>
      </c>
      <c r="L14" s="143">
        <f t="shared" ref="L14:O14" si="1">L166</f>
        <v>0</v>
      </c>
      <c r="M14" s="143">
        <f t="shared" si="1"/>
        <v>0</v>
      </c>
      <c r="N14" s="143">
        <f t="shared" si="1"/>
        <v>0</v>
      </c>
      <c r="O14" s="143">
        <f t="shared" si="1"/>
        <v>0</v>
      </c>
      <c r="P14" s="143">
        <f>SUM(K14:O14)</f>
        <v>0</v>
      </c>
      <c r="Q14" s="9"/>
      <c r="R14" s="3"/>
      <c r="S14" s="3"/>
      <c r="T14" s="3"/>
      <c r="U14" s="3"/>
      <c r="V14" s="3"/>
    </row>
    <row r="15" spans="1:22" s="10" customFormat="1" ht="46.5" customHeight="1" thickBot="1" x14ac:dyDescent="0.3">
      <c r="A15" s="435"/>
      <c r="B15" s="437"/>
      <c r="C15" s="144" t="s">
        <v>21</v>
      </c>
      <c r="D15" s="145" t="s">
        <v>31</v>
      </c>
      <c r="E15" s="139" t="s">
        <v>294</v>
      </c>
      <c r="F15" s="139" t="s">
        <v>294</v>
      </c>
      <c r="G15" s="139" t="s">
        <v>294</v>
      </c>
      <c r="H15" s="146">
        <f>H102</f>
        <v>52800</v>
      </c>
      <c r="I15" s="146">
        <f>I102</f>
        <v>28856</v>
      </c>
      <c r="J15" s="146">
        <f>J102</f>
        <v>23056</v>
      </c>
      <c r="K15" s="146">
        <f t="shared" ref="K15:O15" si="2">K103</f>
        <v>103.73</v>
      </c>
      <c r="L15" s="146">
        <f t="shared" si="2"/>
        <v>0</v>
      </c>
      <c r="M15" s="146">
        <f t="shared" si="2"/>
        <v>0</v>
      </c>
      <c r="N15" s="146">
        <f t="shared" si="2"/>
        <v>0</v>
      </c>
      <c r="O15" s="146">
        <f t="shared" si="2"/>
        <v>0</v>
      </c>
      <c r="P15" s="146">
        <f>SUM(H15:O15)</f>
        <v>104815.73</v>
      </c>
      <c r="Q15" s="9"/>
      <c r="R15" s="3"/>
      <c r="S15" s="3"/>
      <c r="T15" s="3"/>
      <c r="U15" s="3"/>
      <c r="V15" s="3"/>
    </row>
    <row r="16" spans="1:22" s="10" customFormat="1" ht="69" customHeight="1" thickBot="1" x14ac:dyDescent="0.3">
      <c r="A16" s="435"/>
      <c r="B16" s="437"/>
      <c r="C16" s="141" t="s">
        <v>63</v>
      </c>
      <c r="D16" s="142" t="s">
        <v>36</v>
      </c>
      <c r="E16" s="139" t="s">
        <v>294</v>
      </c>
      <c r="F16" s="139" t="s">
        <v>294</v>
      </c>
      <c r="G16" s="139" t="s">
        <v>294</v>
      </c>
      <c r="H16" s="147">
        <f t="shared" ref="H16:O16" si="3">H70+H104</f>
        <v>9950</v>
      </c>
      <c r="I16" s="147">
        <f t="shared" si="3"/>
        <v>7988</v>
      </c>
      <c r="J16" s="147">
        <f t="shared" si="3"/>
        <v>8789.5</v>
      </c>
      <c r="K16" s="147">
        <f t="shared" si="3"/>
        <v>8326</v>
      </c>
      <c r="L16" s="147">
        <f t="shared" si="3"/>
        <v>6955</v>
      </c>
      <c r="M16" s="147">
        <f t="shared" si="3"/>
        <v>6955</v>
      </c>
      <c r="N16" s="147">
        <f t="shared" si="3"/>
        <v>6955</v>
      </c>
      <c r="O16" s="147">
        <f t="shared" si="3"/>
        <v>6955</v>
      </c>
      <c r="P16" s="147">
        <f>SUM(H16:L16)</f>
        <v>42008.5</v>
      </c>
      <c r="Q16" s="9"/>
      <c r="R16" s="3"/>
      <c r="S16" s="3"/>
      <c r="T16" s="3"/>
      <c r="U16" s="3"/>
      <c r="V16" s="3"/>
    </row>
    <row r="17" spans="1:22" s="10" customFormat="1" ht="60" customHeight="1" thickBot="1" x14ac:dyDescent="0.3">
      <c r="A17" s="435"/>
      <c r="B17" s="437"/>
      <c r="C17" s="144" t="s">
        <v>151</v>
      </c>
      <c r="D17" s="145" t="s">
        <v>256</v>
      </c>
      <c r="E17" s="139" t="s">
        <v>294</v>
      </c>
      <c r="F17" s="139" t="s">
        <v>294</v>
      </c>
      <c r="G17" s="139" t="s">
        <v>294</v>
      </c>
      <c r="H17" s="148"/>
      <c r="I17" s="148"/>
      <c r="J17" s="148"/>
      <c r="K17" s="148">
        <f>K167</f>
        <v>0</v>
      </c>
      <c r="L17" s="148">
        <f t="shared" ref="L17:O17" si="4">L167</f>
        <v>0</v>
      </c>
      <c r="M17" s="148">
        <f t="shared" si="4"/>
        <v>0</v>
      </c>
      <c r="N17" s="148">
        <f t="shared" si="4"/>
        <v>0</v>
      </c>
      <c r="O17" s="148">
        <f t="shared" si="4"/>
        <v>0</v>
      </c>
      <c r="P17" s="148">
        <f>SUM(K17:O17)</f>
        <v>0</v>
      </c>
      <c r="Q17" s="9"/>
      <c r="R17" s="3"/>
      <c r="S17" s="3"/>
      <c r="T17" s="3"/>
      <c r="U17" s="3"/>
      <c r="V17" s="3"/>
    </row>
    <row r="18" spans="1:22" s="10" customFormat="1" ht="75.75" customHeight="1" thickBot="1" x14ac:dyDescent="0.3">
      <c r="A18" s="435"/>
      <c r="B18" s="437"/>
      <c r="C18" s="141" t="s">
        <v>20</v>
      </c>
      <c r="D18" s="142" t="s">
        <v>29</v>
      </c>
      <c r="E18" s="139" t="s">
        <v>294</v>
      </c>
      <c r="F18" s="139" t="s">
        <v>294</v>
      </c>
      <c r="G18" s="139" t="s">
        <v>294</v>
      </c>
      <c r="H18" s="143">
        <f>H192</f>
        <v>421111</v>
      </c>
      <c r="I18" s="143">
        <f t="shared" ref="I18:O18" si="5">I192</f>
        <v>453719.42999999993</v>
      </c>
      <c r="J18" s="143">
        <f t="shared" si="5"/>
        <v>303569.08299999998</v>
      </c>
      <c r="K18" s="143">
        <f t="shared" si="5"/>
        <v>312163.53174000001</v>
      </c>
      <c r="L18" s="143">
        <f t="shared" si="5"/>
        <v>298141.27300000004</v>
      </c>
      <c r="M18" s="143">
        <f t="shared" si="5"/>
        <v>298141.27300000004</v>
      </c>
      <c r="N18" s="143">
        <f t="shared" si="5"/>
        <v>298141.27300000004</v>
      </c>
      <c r="O18" s="143">
        <f t="shared" si="5"/>
        <v>298141.27300000004</v>
      </c>
      <c r="P18" s="143">
        <f t="shared" ref="P18:P25" si="6">SUM(H18:O18)</f>
        <v>2683128.13674</v>
      </c>
      <c r="Q18" s="9"/>
      <c r="R18" s="3"/>
      <c r="S18" s="3"/>
      <c r="T18" s="3"/>
      <c r="U18" s="3"/>
      <c r="V18" s="3"/>
    </row>
    <row r="19" spans="1:22" s="10" customFormat="1" ht="75.75" customHeight="1" thickBot="1" x14ac:dyDescent="0.3">
      <c r="A19" s="435"/>
      <c r="B19" s="437"/>
      <c r="C19" s="141" t="s">
        <v>354</v>
      </c>
      <c r="D19" s="142">
        <v>775</v>
      </c>
      <c r="E19" s="139" t="s">
        <v>294</v>
      </c>
      <c r="F19" s="139" t="s">
        <v>294</v>
      </c>
      <c r="G19" s="139" t="s">
        <v>294</v>
      </c>
      <c r="H19" s="143"/>
      <c r="I19" s="143"/>
      <c r="J19" s="143"/>
      <c r="K19" s="148">
        <f>K168</f>
        <v>45000</v>
      </c>
      <c r="L19" s="148">
        <f t="shared" ref="L19:O19" si="7">L168</f>
        <v>0</v>
      </c>
      <c r="M19" s="148">
        <f t="shared" si="7"/>
        <v>0</v>
      </c>
      <c r="N19" s="148">
        <f t="shared" si="7"/>
        <v>0</v>
      </c>
      <c r="O19" s="148">
        <f t="shared" si="7"/>
        <v>0</v>
      </c>
      <c r="P19" s="143">
        <f>SUM(K19:O19)</f>
        <v>45000</v>
      </c>
      <c r="Q19" s="9"/>
      <c r="R19" s="3"/>
      <c r="S19" s="3"/>
      <c r="T19" s="3"/>
      <c r="U19" s="3"/>
      <c r="V19" s="3"/>
    </row>
    <row r="20" spans="1:22" s="10" customFormat="1" ht="70.5" customHeight="1" thickBot="1" x14ac:dyDescent="0.3">
      <c r="A20" s="435"/>
      <c r="B20" s="437"/>
      <c r="C20" s="141" t="s">
        <v>66</v>
      </c>
      <c r="D20" s="142" t="s">
        <v>33</v>
      </c>
      <c r="E20" s="139" t="s">
        <v>294</v>
      </c>
      <c r="F20" s="139" t="s">
        <v>294</v>
      </c>
      <c r="G20" s="139" t="s">
        <v>294</v>
      </c>
      <c r="H20" s="147">
        <f>H69+H169</f>
        <v>30400</v>
      </c>
      <c r="I20" s="147">
        <f>I69+I169</f>
        <v>9333.7999999999993</v>
      </c>
      <c r="J20" s="147">
        <f>J69+J169</f>
        <v>5565.64</v>
      </c>
      <c r="K20" s="147">
        <f>K69+K170</f>
        <v>0</v>
      </c>
      <c r="L20" s="147">
        <f>L69+L170</f>
        <v>0</v>
      </c>
      <c r="M20" s="147">
        <f>M69+M170</f>
        <v>0</v>
      </c>
      <c r="N20" s="147">
        <f>N69+N170</f>
        <v>0</v>
      </c>
      <c r="O20" s="147">
        <f>O69+O170</f>
        <v>0</v>
      </c>
      <c r="P20" s="147">
        <f t="shared" si="6"/>
        <v>45299.44</v>
      </c>
      <c r="Q20" s="9"/>
      <c r="R20" s="3"/>
      <c r="S20" s="3"/>
      <c r="T20" s="3"/>
      <c r="U20" s="3"/>
      <c r="V20" s="3"/>
    </row>
    <row r="21" spans="1:22" s="10" customFormat="1" ht="69.75" customHeight="1" thickBot="1" x14ac:dyDescent="0.3">
      <c r="A21" s="435"/>
      <c r="B21" s="437"/>
      <c r="C21" s="141" t="s">
        <v>181</v>
      </c>
      <c r="D21" s="142" t="s">
        <v>38</v>
      </c>
      <c r="E21" s="139" t="s">
        <v>294</v>
      </c>
      <c r="F21" s="139" t="s">
        <v>294</v>
      </c>
      <c r="G21" s="139" t="s">
        <v>294</v>
      </c>
      <c r="H21" s="147">
        <f>H105</f>
        <v>1580</v>
      </c>
      <c r="I21" s="147">
        <f t="shared" ref="I21:O21" si="8">I105</f>
        <v>0</v>
      </c>
      <c r="J21" s="147">
        <f t="shared" si="8"/>
        <v>0</v>
      </c>
      <c r="K21" s="147">
        <f t="shared" si="8"/>
        <v>0</v>
      </c>
      <c r="L21" s="147">
        <f t="shared" si="8"/>
        <v>0</v>
      </c>
      <c r="M21" s="147">
        <f t="shared" si="8"/>
        <v>0</v>
      </c>
      <c r="N21" s="147">
        <f t="shared" si="8"/>
        <v>0</v>
      </c>
      <c r="O21" s="147">
        <f t="shared" si="8"/>
        <v>0</v>
      </c>
      <c r="P21" s="147">
        <f t="shared" si="6"/>
        <v>1580</v>
      </c>
      <c r="Q21" s="9"/>
      <c r="R21" s="3"/>
      <c r="S21" s="3"/>
      <c r="T21" s="3"/>
      <c r="U21" s="3"/>
      <c r="V21" s="3"/>
    </row>
    <row r="22" spans="1:22" s="13" customFormat="1" ht="28.5" customHeight="1" thickBot="1" x14ac:dyDescent="0.25">
      <c r="A22" s="397" t="s">
        <v>23</v>
      </c>
      <c r="B22" s="412" t="s">
        <v>139</v>
      </c>
      <c r="C22" s="149" t="s">
        <v>27</v>
      </c>
      <c r="D22" s="139" t="s">
        <v>294</v>
      </c>
      <c r="E22" s="139" t="s">
        <v>294</v>
      </c>
      <c r="F22" s="139" t="s">
        <v>294</v>
      </c>
      <c r="G22" s="139" t="s">
        <v>294</v>
      </c>
      <c r="H22" s="150">
        <f>H26+H40+H59</f>
        <v>245694.76</v>
      </c>
      <c r="I22" s="150">
        <f t="shared" ref="I22:J22" si="9">I26+I40+I59</f>
        <v>205626.3</v>
      </c>
      <c r="J22" s="150">
        <f t="shared" si="9"/>
        <v>350235.25436000002</v>
      </c>
      <c r="K22" s="150">
        <f>K25+K39+K59</f>
        <v>339010.06099999999</v>
      </c>
      <c r="L22" s="150">
        <f t="shared" ref="L22:O22" si="10">L25+L39</f>
        <v>159767.76</v>
      </c>
      <c r="M22" s="150">
        <f t="shared" si="10"/>
        <v>159509.84</v>
      </c>
      <c r="N22" s="150">
        <f t="shared" si="10"/>
        <v>159509.84</v>
      </c>
      <c r="O22" s="150">
        <f t="shared" si="10"/>
        <v>159509.84</v>
      </c>
      <c r="P22" s="150">
        <f t="shared" si="6"/>
        <v>1778863.6553600002</v>
      </c>
      <c r="Q22" s="9"/>
      <c r="R22" s="3"/>
      <c r="S22" s="3"/>
      <c r="T22" s="3"/>
      <c r="U22" s="3"/>
      <c r="V22" s="3"/>
    </row>
    <row r="23" spans="1:22" s="13" customFormat="1" ht="28.5" customHeight="1" x14ac:dyDescent="0.2">
      <c r="A23" s="398"/>
      <c r="B23" s="413"/>
      <c r="C23" s="412" t="s">
        <v>22</v>
      </c>
      <c r="D23" s="151" t="s">
        <v>35</v>
      </c>
      <c r="E23" s="151" t="s">
        <v>294</v>
      </c>
      <c r="F23" s="151" t="s">
        <v>294</v>
      </c>
      <c r="G23" s="151" t="s">
        <v>294</v>
      </c>
      <c r="H23" s="152">
        <f>H26+H40+H59</f>
        <v>245694.76</v>
      </c>
      <c r="I23" s="152">
        <f t="shared" ref="I23:J23" si="11">I26+I40+I59</f>
        <v>205626.3</v>
      </c>
      <c r="J23" s="152">
        <f t="shared" si="11"/>
        <v>350235.25436000002</v>
      </c>
      <c r="K23" s="152"/>
      <c r="L23" s="152"/>
      <c r="M23" s="152"/>
      <c r="N23" s="152"/>
      <c r="O23" s="152"/>
      <c r="P23" s="454">
        <f>SUM(H23:O24)</f>
        <v>1778863.6553600002</v>
      </c>
      <c r="Q23" s="9"/>
      <c r="R23" s="3"/>
      <c r="S23" s="3"/>
      <c r="T23" s="3"/>
      <c r="U23" s="3"/>
      <c r="V23" s="3"/>
    </row>
    <row r="24" spans="1:22" s="13" customFormat="1" ht="53.25" customHeight="1" thickBot="1" x14ac:dyDescent="0.3">
      <c r="A24" s="399"/>
      <c r="B24" s="414"/>
      <c r="C24" s="414"/>
      <c r="D24" s="153" t="s">
        <v>35</v>
      </c>
      <c r="E24" s="153" t="s">
        <v>294</v>
      </c>
      <c r="F24" s="149">
        <v>1110000000</v>
      </c>
      <c r="G24" s="153" t="s">
        <v>294</v>
      </c>
      <c r="H24" s="154"/>
      <c r="I24" s="154"/>
      <c r="J24" s="154"/>
      <c r="K24" s="155">
        <f>K25+K39+K59</f>
        <v>339010.06099999999</v>
      </c>
      <c r="L24" s="155">
        <f t="shared" ref="L24:O24" si="12">L25+L39</f>
        <v>159767.76</v>
      </c>
      <c r="M24" s="155">
        <f t="shared" si="12"/>
        <v>159509.84</v>
      </c>
      <c r="N24" s="155">
        <f t="shared" si="12"/>
        <v>159509.84</v>
      </c>
      <c r="O24" s="155">
        <f t="shared" si="12"/>
        <v>159509.84</v>
      </c>
      <c r="P24" s="455"/>
      <c r="Q24" s="9"/>
      <c r="R24" s="3"/>
      <c r="S24" s="3"/>
      <c r="T24" s="3"/>
      <c r="U24" s="3"/>
      <c r="V24" s="3"/>
    </row>
    <row r="25" spans="1:22" s="13" customFormat="1" ht="28.5" customHeight="1" thickBot="1" x14ac:dyDescent="0.25">
      <c r="A25" s="397" t="s">
        <v>123</v>
      </c>
      <c r="B25" s="412" t="s">
        <v>313</v>
      </c>
      <c r="C25" s="156" t="s">
        <v>27</v>
      </c>
      <c r="D25" s="153" t="s">
        <v>35</v>
      </c>
      <c r="E25" s="139" t="s">
        <v>294</v>
      </c>
      <c r="F25" s="139" t="s">
        <v>294</v>
      </c>
      <c r="G25" s="139" t="s">
        <v>294</v>
      </c>
      <c r="H25" s="150">
        <f>SUM(H26:H27)</f>
        <v>83851</v>
      </c>
      <c r="I25" s="150">
        <f>SUM(I26:I27)</f>
        <v>27990</v>
      </c>
      <c r="J25" s="150">
        <f>SUM(J26:J27)</f>
        <v>250.42133999999999</v>
      </c>
      <c r="K25" s="150">
        <f t="shared" ref="K25:O25" si="13">SUM(K27:K27)</f>
        <v>0</v>
      </c>
      <c r="L25" s="150">
        <f t="shared" si="13"/>
        <v>0</v>
      </c>
      <c r="M25" s="150">
        <f t="shared" si="13"/>
        <v>0</v>
      </c>
      <c r="N25" s="150">
        <f t="shared" si="13"/>
        <v>0</v>
      </c>
      <c r="O25" s="150">
        <f t="shared" si="13"/>
        <v>0</v>
      </c>
      <c r="P25" s="157">
        <f t="shared" si="6"/>
        <v>112091.42134</v>
      </c>
      <c r="Q25" s="9"/>
      <c r="R25" s="3"/>
      <c r="S25" s="3"/>
      <c r="T25" s="3"/>
      <c r="U25" s="3"/>
      <c r="V25" s="3"/>
    </row>
    <row r="26" spans="1:22" s="13" customFormat="1" ht="47.1" customHeight="1" x14ac:dyDescent="0.2">
      <c r="A26" s="398"/>
      <c r="B26" s="413"/>
      <c r="C26" s="412" t="s">
        <v>22</v>
      </c>
      <c r="D26" s="151" t="s">
        <v>35</v>
      </c>
      <c r="E26" s="151" t="s">
        <v>294</v>
      </c>
      <c r="F26" s="151" t="s">
        <v>294</v>
      </c>
      <c r="G26" s="151" t="s">
        <v>294</v>
      </c>
      <c r="H26" s="158">
        <f>H28+H35+H37</f>
        <v>83851</v>
      </c>
      <c r="I26" s="158">
        <f>I28+I36+I38</f>
        <v>27990</v>
      </c>
      <c r="J26" s="158">
        <f>J28+J36+J38</f>
        <v>250.42133999999999</v>
      </c>
      <c r="K26" s="158"/>
      <c r="L26" s="158"/>
      <c r="M26" s="158"/>
      <c r="N26" s="158"/>
      <c r="O26" s="158"/>
      <c r="P26" s="454">
        <f>SUM(H26:O27)</f>
        <v>112091.42134</v>
      </c>
      <c r="Q26" s="9"/>
      <c r="R26" s="3"/>
      <c r="S26" s="3"/>
      <c r="T26" s="3"/>
      <c r="U26" s="3"/>
      <c r="V26" s="3"/>
    </row>
    <row r="27" spans="1:22" s="13" customFormat="1" ht="47.25" customHeight="1" thickBot="1" x14ac:dyDescent="0.3">
      <c r="A27" s="398"/>
      <c r="B27" s="414"/>
      <c r="C27" s="414"/>
      <c r="D27" s="153" t="s">
        <v>35</v>
      </c>
      <c r="E27" s="153" t="s">
        <v>294</v>
      </c>
      <c r="F27" s="149">
        <v>1110100000</v>
      </c>
      <c r="G27" s="153" t="s">
        <v>294</v>
      </c>
      <c r="H27" s="154"/>
      <c r="I27" s="154"/>
      <c r="J27" s="154"/>
      <c r="K27" s="155">
        <f t="shared" ref="K27:O27" si="14">K28+K36+K38</f>
        <v>0</v>
      </c>
      <c r="L27" s="155">
        <f t="shared" si="14"/>
        <v>0</v>
      </c>
      <c r="M27" s="155">
        <f t="shared" si="14"/>
        <v>0</v>
      </c>
      <c r="N27" s="155">
        <f t="shared" si="14"/>
        <v>0</v>
      </c>
      <c r="O27" s="155">
        <f t="shared" si="14"/>
        <v>0</v>
      </c>
      <c r="P27" s="455"/>
      <c r="Q27" s="9"/>
      <c r="R27" s="3"/>
      <c r="S27" s="3"/>
      <c r="T27" s="3"/>
      <c r="U27" s="3"/>
      <c r="V27" s="3"/>
    </row>
    <row r="28" spans="1:22" s="10" customFormat="1" ht="152.25" customHeight="1" thickBot="1" x14ac:dyDescent="0.3">
      <c r="A28" s="156" t="s">
        <v>193</v>
      </c>
      <c r="B28" s="141" t="s">
        <v>194</v>
      </c>
      <c r="C28" s="141" t="s">
        <v>39</v>
      </c>
      <c r="D28" s="142" t="s">
        <v>35</v>
      </c>
      <c r="E28" s="142" t="s">
        <v>19</v>
      </c>
      <c r="F28" s="160" t="s">
        <v>294</v>
      </c>
      <c r="G28" s="161" t="s">
        <v>294</v>
      </c>
      <c r="H28" s="143">
        <f>SUM(H29:H34)</f>
        <v>80851</v>
      </c>
      <c r="I28" s="143">
        <f t="shared" ref="I28:O28" si="15">SUM(I29:I34)</f>
        <v>19400</v>
      </c>
      <c r="J28" s="143">
        <f t="shared" si="15"/>
        <v>0</v>
      </c>
      <c r="K28" s="143">
        <f t="shared" si="15"/>
        <v>0</v>
      </c>
      <c r="L28" s="143">
        <f t="shared" si="15"/>
        <v>0</v>
      </c>
      <c r="M28" s="143">
        <f t="shared" si="15"/>
        <v>0</v>
      </c>
      <c r="N28" s="143">
        <f t="shared" si="15"/>
        <v>0</v>
      </c>
      <c r="O28" s="143">
        <f t="shared" si="15"/>
        <v>0</v>
      </c>
      <c r="P28" s="143">
        <f>SUM(H28:O28)</f>
        <v>100251</v>
      </c>
      <c r="Q28" s="9"/>
      <c r="R28" s="3"/>
      <c r="S28" s="3"/>
      <c r="T28" s="3"/>
      <c r="U28" s="3"/>
      <c r="V28" s="3"/>
    </row>
    <row r="29" spans="1:22" s="10" customFormat="1" ht="92.25" customHeight="1" x14ac:dyDescent="0.25">
      <c r="A29" s="401" t="s">
        <v>322</v>
      </c>
      <c r="B29" s="400" t="s">
        <v>383</v>
      </c>
      <c r="C29" s="393" t="s">
        <v>385</v>
      </c>
      <c r="D29" s="162" t="s">
        <v>35</v>
      </c>
      <c r="E29" s="162" t="s">
        <v>19</v>
      </c>
      <c r="F29" s="163">
        <v>5221020</v>
      </c>
      <c r="G29" s="164" t="s">
        <v>40</v>
      </c>
      <c r="H29" s="165">
        <v>29000</v>
      </c>
      <c r="I29" s="166"/>
      <c r="J29" s="166"/>
      <c r="K29" s="166"/>
      <c r="L29" s="166"/>
      <c r="M29" s="166"/>
      <c r="N29" s="166"/>
      <c r="O29" s="166"/>
      <c r="P29" s="395">
        <f>SUM(H29:O30)</f>
        <v>33600</v>
      </c>
      <c r="Q29" s="9"/>
      <c r="R29" s="3"/>
      <c r="S29" s="3"/>
      <c r="T29" s="3"/>
      <c r="U29" s="3"/>
      <c r="V29" s="3"/>
    </row>
    <row r="30" spans="1:22" s="10" customFormat="1" ht="99.75" customHeight="1" thickBot="1" x14ac:dyDescent="0.3">
      <c r="A30" s="421"/>
      <c r="B30" s="394"/>
      <c r="C30" s="394"/>
      <c r="D30" s="167">
        <v>755</v>
      </c>
      <c r="E30" s="168" t="s">
        <v>19</v>
      </c>
      <c r="F30" s="169">
        <v>1112143</v>
      </c>
      <c r="G30" s="170" t="s">
        <v>28</v>
      </c>
      <c r="H30" s="171"/>
      <c r="I30" s="171">
        <f>5200-600</f>
        <v>4600</v>
      </c>
      <c r="J30" s="171">
        <v>0</v>
      </c>
      <c r="K30" s="171">
        <v>0</v>
      </c>
      <c r="L30" s="171">
        <v>0</v>
      </c>
      <c r="M30" s="171">
        <v>0</v>
      </c>
      <c r="N30" s="171">
        <v>0</v>
      </c>
      <c r="O30" s="171">
        <v>0</v>
      </c>
      <c r="P30" s="396"/>
      <c r="Q30" s="9"/>
      <c r="R30" s="3"/>
      <c r="S30" s="3"/>
      <c r="T30" s="3"/>
      <c r="U30" s="3"/>
      <c r="V30" s="3"/>
    </row>
    <row r="31" spans="1:22" s="10" customFormat="1" ht="47.1" customHeight="1" x14ac:dyDescent="0.25">
      <c r="A31" s="402" t="s">
        <v>196</v>
      </c>
      <c r="B31" s="400" t="s">
        <v>99</v>
      </c>
      <c r="C31" s="393" t="s">
        <v>22</v>
      </c>
      <c r="D31" s="110">
        <v>755</v>
      </c>
      <c r="E31" s="172" t="s">
        <v>19</v>
      </c>
      <c r="F31" s="172" t="s">
        <v>34</v>
      </c>
      <c r="G31" s="173" t="s">
        <v>40</v>
      </c>
      <c r="H31" s="174">
        <v>3700</v>
      </c>
      <c r="I31" s="175"/>
      <c r="J31" s="175"/>
      <c r="K31" s="175"/>
      <c r="L31" s="175"/>
      <c r="M31" s="175"/>
      <c r="N31" s="175"/>
      <c r="O31" s="175"/>
      <c r="P31" s="426">
        <f>SUM(H31:O32)</f>
        <v>4700</v>
      </c>
      <c r="Q31" s="9"/>
      <c r="R31" s="3"/>
      <c r="S31" s="3"/>
      <c r="T31" s="3"/>
      <c r="U31" s="3"/>
      <c r="V31" s="3"/>
    </row>
    <row r="32" spans="1:22" s="10" customFormat="1" ht="47.1" customHeight="1" thickBot="1" x14ac:dyDescent="0.3">
      <c r="A32" s="402"/>
      <c r="B32" s="394"/>
      <c r="C32" s="393"/>
      <c r="D32" s="176">
        <v>755</v>
      </c>
      <c r="E32" s="177" t="s">
        <v>19</v>
      </c>
      <c r="F32" s="177" t="s">
        <v>51</v>
      </c>
      <c r="G32" s="178" t="s">
        <v>28</v>
      </c>
      <c r="H32" s="179"/>
      <c r="I32" s="179">
        <v>1000</v>
      </c>
      <c r="J32" s="179">
        <v>0</v>
      </c>
      <c r="K32" s="179">
        <v>0</v>
      </c>
      <c r="L32" s="179">
        <v>0</v>
      </c>
      <c r="M32" s="179">
        <v>0</v>
      </c>
      <c r="N32" s="179">
        <v>0</v>
      </c>
      <c r="O32" s="179">
        <v>0</v>
      </c>
      <c r="P32" s="427"/>
      <c r="Q32" s="9"/>
      <c r="R32" s="3"/>
      <c r="S32" s="3"/>
      <c r="T32" s="3"/>
      <c r="U32" s="3"/>
      <c r="V32" s="3"/>
    </row>
    <row r="33" spans="1:22" s="10" customFormat="1" ht="103.5" customHeight="1" x14ac:dyDescent="0.25">
      <c r="A33" s="401" t="s">
        <v>197</v>
      </c>
      <c r="B33" s="400" t="s">
        <v>52</v>
      </c>
      <c r="C33" s="400" t="s">
        <v>22</v>
      </c>
      <c r="D33" s="163">
        <v>755</v>
      </c>
      <c r="E33" s="162" t="s">
        <v>19</v>
      </c>
      <c r="F33" s="162" t="s">
        <v>34</v>
      </c>
      <c r="G33" s="180" t="s">
        <v>40</v>
      </c>
      <c r="H33" s="165">
        <v>48151</v>
      </c>
      <c r="I33" s="181"/>
      <c r="J33" s="181"/>
      <c r="K33" s="181"/>
      <c r="L33" s="181"/>
      <c r="M33" s="181"/>
      <c r="N33" s="181"/>
      <c r="O33" s="181"/>
      <c r="P33" s="428">
        <f>SUM(H33:O34)</f>
        <v>61951</v>
      </c>
      <c r="Q33" s="9"/>
      <c r="R33" s="3"/>
      <c r="S33" s="3"/>
      <c r="T33" s="3"/>
      <c r="U33" s="3"/>
      <c r="V33" s="3"/>
    </row>
    <row r="34" spans="1:22" s="10" customFormat="1" ht="102.75" customHeight="1" thickBot="1" x14ac:dyDescent="0.3">
      <c r="A34" s="421"/>
      <c r="B34" s="394"/>
      <c r="C34" s="394"/>
      <c r="D34" s="169">
        <v>755</v>
      </c>
      <c r="E34" s="182" t="s">
        <v>19</v>
      </c>
      <c r="F34" s="182" t="s">
        <v>51</v>
      </c>
      <c r="G34" s="183" t="s">
        <v>28</v>
      </c>
      <c r="H34" s="171"/>
      <c r="I34" s="171">
        <v>13800</v>
      </c>
      <c r="J34" s="171">
        <v>0</v>
      </c>
      <c r="K34" s="171">
        <v>0</v>
      </c>
      <c r="L34" s="171">
        <v>0</v>
      </c>
      <c r="M34" s="171">
        <v>0</v>
      </c>
      <c r="N34" s="171">
        <v>0</v>
      </c>
      <c r="O34" s="171">
        <v>0</v>
      </c>
      <c r="P34" s="429"/>
      <c r="Q34" s="9"/>
      <c r="R34" s="3"/>
      <c r="S34" s="3"/>
      <c r="T34" s="3"/>
      <c r="U34" s="3"/>
      <c r="V34" s="3"/>
    </row>
    <row r="35" spans="1:22" s="10" customFormat="1" ht="47.1" customHeight="1" x14ac:dyDescent="0.25">
      <c r="A35" s="402" t="s">
        <v>198</v>
      </c>
      <c r="B35" s="400" t="s">
        <v>54</v>
      </c>
      <c r="C35" s="400" t="s">
        <v>22</v>
      </c>
      <c r="D35" s="163">
        <v>755</v>
      </c>
      <c r="E35" s="162" t="s">
        <v>19</v>
      </c>
      <c r="F35" s="162" t="s">
        <v>34</v>
      </c>
      <c r="G35" s="180" t="s">
        <v>40</v>
      </c>
      <c r="H35" s="165">
        <v>0</v>
      </c>
      <c r="I35" s="181"/>
      <c r="J35" s="181"/>
      <c r="K35" s="181"/>
      <c r="L35" s="181"/>
      <c r="M35" s="181"/>
      <c r="N35" s="181"/>
      <c r="O35" s="181"/>
      <c r="P35" s="428">
        <f>SUM(H35:M36)</f>
        <v>5738.8943399999998</v>
      </c>
      <c r="Q35" s="9"/>
      <c r="R35" s="3"/>
      <c r="S35" s="3"/>
      <c r="T35" s="3"/>
      <c r="U35" s="3"/>
      <c r="V35" s="3"/>
    </row>
    <row r="36" spans="1:22" s="10" customFormat="1" ht="47.1" customHeight="1" thickBot="1" x14ac:dyDescent="0.3">
      <c r="A36" s="403"/>
      <c r="B36" s="394"/>
      <c r="C36" s="394"/>
      <c r="D36" s="169">
        <v>755</v>
      </c>
      <c r="E36" s="182" t="s">
        <v>16</v>
      </c>
      <c r="F36" s="182" t="s">
        <v>55</v>
      </c>
      <c r="G36" s="183" t="s">
        <v>28</v>
      </c>
      <c r="H36" s="171"/>
      <c r="I36" s="171">
        <f>47500-6500-35500</f>
        <v>5500</v>
      </c>
      <c r="J36" s="171">
        <v>238.89434</v>
      </c>
      <c r="K36" s="171">
        <v>0</v>
      </c>
      <c r="L36" s="171">
        <v>0</v>
      </c>
      <c r="M36" s="171">
        <v>0</v>
      </c>
      <c r="N36" s="171">
        <v>0</v>
      </c>
      <c r="O36" s="171">
        <v>0</v>
      </c>
      <c r="P36" s="429"/>
      <c r="Q36" s="9"/>
      <c r="R36" s="3"/>
      <c r="S36" s="3"/>
      <c r="T36" s="3"/>
      <c r="U36" s="3"/>
      <c r="V36" s="3"/>
    </row>
    <row r="37" spans="1:22" s="10" customFormat="1" ht="33.75" customHeight="1" x14ac:dyDescent="0.25">
      <c r="A37" s="447" t="s">
        <v>199</v>
      </c>
      <c r="B37" s="400" t="s">
        <v>56</v>
      </c>
      <c r="C37" s="400" t="s">
        <v>22</v>
      </c>
      <c r="D37" s="163">
        <v>755</v>
      </c>
      <c r="E37" s="162" t="s">
        <v>19</v>
      </c>
      <c r="F37" s="162" t="s">
        <v>34</v>
      </c>
      <c r="G37" s="180" t="s">
        <v>40</v>
      </c>
      <c r="H37" s="165">
        <v>3000</v>
      </c>
      <c r="I37" s="181"/>
      <c r="J37" s="181"/>
      <c r="K37" s="181"/>
      <c r="L37" s="181"/>
      <c r="M37" s="181"/>
      <c r="N37" s="181"/>
      <c r="O37" s="181"/>
      <c r="P37" s="428">
        <f>SUM(H37:O38)</f>
        <v>6101.527</v>
      </c>
      <c r="Q37" s="9"/>
      <c r="R37" s="3"/>
      <c r="S37" s="3"/>
      <c r="T37" s="3"/>
      <c r="U37" s="3"/>
      <c r="V37" s="3"/>
    </row>
    <row r="38" spans="1:22" s="10" customFormat="1" ht="30.75" customHeight="1" thickBot="1" x14ac:dyDescent="0.3">
      <c r="A38" s="448"/>
      <c r="B38" s="394"/>
      <c r="C38" s="394"/>
      <c r="D38" s="169">
        <v>755</v>
      </c>
      <c r="E38" s="182" t="s">
        <v>19</v>
      </c>
      <c r="F38" s="182" t="s">
        <v>57</v>
      </c>
      <c r="G38" s="183" t="s">
        <v>28</v>
      </c>
      <c r="H38" s="171"/>
      <c r="I38" s="171">
        <v>3090</v>
      </c>
      <c r="J38" s="171">
        <v>11.526999999999999</v>
      </c>
      <c r="K38" s="171">
        <v>0</v>
      </c>
      <c r="L38" s="171">
        <v>0</v>
      </c>
      <c r="M38" s="171">
        <v>0</v>
      </c>
      <c r="N38" s="171">
        <v>0</v>
      </c>
      <c r="O38" s="171">
        <v>0</v>
      </c>
      <c r="P38" s="429"/>
      <c r="Q38" s="9"/>
      <c r="R38" s="3"/>
      <c r="S38" s="3"/>
      <c r="T38" s="3"/>
      <c r="U38" s="3"/>
      <c r="V38" s="3"/>
    </row>
    <row r="39" spans="1:22" s="13" customFormat="1" ht="19.5" customHeight="1" thickBot="1" x14ac:dyDescent="0.25">
      <c r="A39" s="432" t="s">
        <v>124</v>
      </c>
      <c r="B39" s="412" t="s">
        <v>297</v>
      </c>
      <c r="C39" s="156" t="s">
        <v>27</v>
      </c>
      <c r="D39" s="156" t="s">
        <v>294</v>
      </c>
      <c r="E39" s="139" t="s">
        <v>294</v>
      </c>
      <c r="F39" s="139" t="s">
        <v>294</v>
      </c>
      <c r="G39" s="139" t="s">
        <v>294</v>
      </c>
      <c r="H39" s="184">
        <f t="shared" ref="H39:J39" si="16">SUM(H42:H57)</f>
        <v>152050</v>
      </c>
      <c r="I39" s="184">
        <f t="shared" si="16"/>
        <v>163636.29999999999</v>
      </c>
      <c r="J39" s="184">
        <f t="shared" si="16"/>
        <v>340535.76150000002</v>
      </c>
      <c r="K39" s="184">
        <f t="shared" ref="K39:O39" si="17">SUM(K42:K57)</f>
        <v>336175.33999999997</v>
      </c>
      <c r="L39" s="184">
        <f t="shared" si="17"/>
        <v>159767.76</v>
      </c>
      <c r="M39" s="184">
        <f t="shared" si="17"/>
        <v>159509.84</v>
      </c>
      <c r="N39" s="184">
        <f t="shared" si="17"/>
        <v>159509.84</v>
      </c>
      <c r="O39" s="184">
        <f t="shared" si="17"/>
        <v>159509.84</v>
      </c>
      <c r="P39" s="185">
        <f>SUM(H39:O39)</f>
        <v>1630694.6815000002</v>
      </c>
      <c r="Q39" s="9"/>
      <c r="R39" s="3"/>
      <c r="S39" s="3"/>
      <c r="T39" s="3"/>
      <c r="U39" s="3"/>
      <c r="V39" s="3"/>
    </row>
    <row r="40" spans="1:22" s="13" customFormat="1" ht="35.1" customHeight="1" x14ac:dyDescent="0.2">
      <c r="A40" s="402"/>
      <c r="B40" s="413"/>
      <c r="C40" s="412" t="s">
        <v>22</v>
      </c>
      <c r="D40" s="151" t="s">
        <v>35</v>
      </c>
      <c r="E40" s="151" t="s">
        <v>294</v>
      </c>
      <c r="F40" s="151" t="s">
        <v>294</v>
      </c>
      <c r="G40" s="151" t="s">
        <v>294</v>
      </c>
      <c r="H40" s="186">
        <f>SUM(H42:H57)</f>
        <v>152050</v>
      </c>
      <c r="I40" s="186">
        <f>SUM(I42:I57)</f>
        <v>163636.29999999999</v>
      </c>
      <c r="J40" s="186">
        <f>SUM(J42:J57)</f>
        <v>340535.76150000002</v>
      </c>
      <c r="K40" s="186"/>
      <c r="L40" s="186"/>
      <c r="M40" s="186"/>
      <c r="N40" s="186"/>
      <c r="O40" s="186"/>
      <c r="P40" s="452">
        <f>SUM(H40:O41)</f>
        <v>1630694.6815000002</v>
      </c>
      <c r="Q40" s="9"/>
      <c r="R40" s="3"/>
      <c r="S40" s="3"/>
      <c r="T40" s="3"/>
      <c r="U40" s="3"/>
      <c r="V40" s="3"/>
    </row>
    <row r="41" spans="1:22" s="13" customFormat="1" ht="35.1" customHeight="1" thickBot="1" x14ac:dyDescent="0.3">
      <c r="A41" s="421"/>
      <c r="B41" s="414"/>
      <c r="C41" s="414"/>
      <c r="D41" s="187" t="s">
        <v>35</v>
      </c>
      <c r="E41" s="187" t="s">
        <v>294</v>
      </c>
      <c r="F41" s="188">
        <v>1110200000</v>
      </c>
      <c r="G41" s="187" t="s">
        <v>294</v>
      </c>
      <c r="H41" s="154"/>
      <c r="I41" s="154"/>
      <c r="J41" s="154"/>
      <c r="K41" s="189">
        <f t="shared" ref="K41:O41" si="18">SUM(K42:K57)</f>
        <v>336175.33999999997</v>
      </c>
      <c r="L41" s="189">
        <f t="shared" si="18"/>
        <v>159767.76</v>
      </c>
      <c r="M41" s="189">
        <f t="shared" si="18"/>
        <v>159509.84</v>
      </c>
      <c r="N41" s="189">
        <f t="shared" si="18"/>
        <v>159509.84</v>
      </c>
      <c r="O41" s="189">
        <f t="shared" si="18"/>
        <v>159509.84</v>
      </c>
      <c r="P41" s="453"/>
      <c r="Q41" s="9"/>
      <c r="R41" s="3"/>
      <c r="S41" s="3"/>
      <c r="T41" s="3"/>
      <c r="U41" s="3"/>
      <c r="V41" s="3"/>
    </row>
    <row r="42" spans="1:22" s="10" customFormat="1" ht="33" customHeight="1" x14ac:dyDescent="0.25">
      <c r="A42" s="444" t="s">
        <v>125</v>
      </c>
      <c r="B42" s="400" t="s">
        <v>142</v>
      </c>
      <c r="C42" s="393" t="s">
        <v>22</v>
      </c>
      <c r="D42" s="110">
        <v>755</v>
      </c>
      <c r="E42" s="172" t="s">
        <v>16</v>
      </c>
      <c r="F42" s="172" t="s">
        <v>41</v>
      </c>
      <c r="G42" s="190" t="s">
        <v>43</v>
      </c>
      <c r="H42" s="191">
        <v>14000</v>
      </c>
      <c r="I42" s="175"/>
      <c r="J42" s="175"/>
      <c r="K42" s="175"/>
      <c r="L42" s="175"/>
      <c r="M42" s="175"/>
      <c r="N42" s="175"/>
      <c r="O42" s="175"/>
      <c r="P42" s="395">
        <f>SUM(H42:O44)</f>
        <v>340126.68149999995</v>
      </c>
      <c r="Q42" s="9"/>
      <c r="R42" s="3"/>
      <c r="S42" s="3"/>
      <c r="T42" s="3"/>
      <c r="U42" s="3"/>
      <c r="V42" s="3"/>
    </row>
    <row r="43" spans="1:22" s="10" customFormat="1" ht="33" customHeight="1" x14ac:dyDescent="0.25">
      <c r="A43" s="446"/>
      <c r="B43" s="393"/>
      <c r="C43" s="393"/>
      <c r="D43" s="61">
        <v>755</v>
      </c>
      <c r="E43" s="99" t="s">
        <v>16</v>
      </c>
      <c r="F43" s="99" t="s">
        <v>42</v>
      </c>
      <c r="G43" s="192" t="s">
        <v>43</v>
      </c>
      <c r="H43" s="193"/>
      <c r="I43" s="193">
        <f>36186.3</f>
        <v>36186.300000000003</v>
      </c>
      <c r="J43" s="193">
        <f>(38223.53+10200+2384.64)-(38223.53+10200+2384.64)*5/100</f>
        <v>48267.761500000001</v>
      </c>
      <c r="K43" s="193"/>
      <c r="L43" s="193"/>
      <c r="M43" s="193"/>
      <c r="N43" s="193"/>
      <c r="O43" s="193"/>
      <c r="P43" s="395"/>
      <c r="Q43" s="9"/>
      <c r="R43" s="3"/>
      <c r="S43" s="3"/>
      <c r="T43" s="3"/>
      <c r="U43" s="3"/>
      <c r="V43" s="3"/>
    </row>
    <row r="44" spans="1:22" s="10" customFormat="1" ht="33" customHeight="1" thickBot="1" x14ac:dyDescent="0.3">
      <c r="A44" s="445"/>
      <c r="B44" s="394"/>
      <c r="C44" s="394"/>
      <c r="D44" s="169">
        <v>755</v>
      </c>
      <c r="E44" s="182" t="s">
        <v>16</v>
      </c>
      <c r="F44" s="182" t="s">
        <v>185</v>
      </c>
      <c r="G44" s="183" t="s">
        <v>43</v>
      </c>
      <c r="H44" s="194"/>
      <c r="I44" s="194"/>
      <c r="J44" s="194"/>
      <c r="K44" s="194">
        <f>35519.6+10200+2290.24+1365.5</f>
        <v>49375.34</v>
      </c>
      <c r="L44" s="194">
        <v>48267.76</v>
      </c>
      <c r="M44" s="194">
        <v>48009.84</v>
      </c>
      <c r="N44" s="194">
        <v>48009.84</v>
      </c>
      <c r="O44" s="194">
        <v>48009.84</v>
      </c>
      <c r="P44" s="396"/>
      <c r="Q44" s="9"/>
      <c r="R44" s="3"/>
      <c r="S44" s="3"/>
      <c r="T44" s="3"/>
      <c r="U44" s="3"/>
      <c r="V44" s="3"/>
    </row>
    <row r="45" spans="1:22" s="10" customFormat="1" ht="24" customHeight="1" x14ac:dyDescent="0.25">
      <c r="A45" s="401" t="s">
        <v>126</v>
      </c>
      <c r="B45" s="424" t="s">
        <v>143</v>
      </c>
      <c r="C45" s="400" t="s">
        <v>22</v>
      </c>
      <c r="D45" s="163">
        <v>755</v>
      </c>
      <c r="E45" s="162" t="s">
        <v>16</v>
      </c>
      <c r="F45" s="162" t="s">
        <v>41</v>
      </c>
      <c r="G45" s="180" t="s">
        <v>46</v>
      </c>
      <c r="H45" s="165">
        <v>84050</v>
      </c>
      <c r="I45" s="181"/>
      <c r="J45" s="165"/>
      <c r="K45" s="181"/>
      <c r="L45" s="181"/>
      <c r="M45" s="181"/>
      <c r="N45" s="181"/>
      <c r="O45" s="181"/>
      <c r="P45" s="407">
        <f>SUM(H45:O49)</f>
        <v>165960</v>
      </c>
      <c r="Q45" s="9"/>
      <c r="R45" s="3"/>
      <c r="S45" s="3"/>
      <c r="T45" s="3"/>
      <c r="U45" s="3"/>
      <c r="V45" s="3"/>
    </row>
    <row r="46" spans="1:22" s="10" customFormat="1" ht="24" customHeight="1" x14ac:dyDescent="0.25">
      <c r="A46" s="402"/>
      <c r="B46" s="449"/>
      <c r="C46" s="393"/>
      <c r="D46" s="61">
        <v>755</v>
      </c>
      <c r="E46" s="99" t="s">
        <v>16</v>
      </c>
      <c r="F46" s="99" t="s">
        <v>44</v>
      </c>
      <c r="G46" s="192" t="s">
        <v>46</v>
      </c>
      <c r="H46" s="195"/>
      <c r="I46" s="195">
        <v>700</v>
      </c>
      <c r="J46" s="196">
        <f>697.97</f>
        <v>697.97</v>
      </c>
      <c r="K46" s="197"/>
      <c r="L46" s="197"/>
      <c r="M46" s="197"/>
      <c r="N46" s="197"/>
      <c r="O46" s="197"/>
      <c r="P46" s="395"/>
      <c r="Q46" s="9"/>
      <c r="R46" s="3"/>
      <c r="S46" s="3"/>
      <c r="T46" s="3"/>
      <c r="U46" s="3"/>
      <c r="V46" s="3"/>
    </row>
    <row r="47" spans="1:22" s="10" customFormat="1" ht="24" customHeight="1" x14ac:dyDescent="0.25">
      <c r="A47" s="402"/>
      <c r="B47" s="449"/>
      <c r="C47" s="393"/>
      <c r="D47" s="61">
        <v>755</v>
      </c>
      <c r="E47" s="99" t="s">
        <v>16</v>
      </c>
      <c r="F47" s="99" t="s">
        <v>45</v>
      </c>
      <c r="G47" s="192" t="s">
        <v>46</v>
      </c>
      <c r="H47" s="195"/>
      <c r="I47" s="195">
        <v>9610</v>
      </c>
      <c r="J47" s="195">
        <f>12102.03</f>
        <v>12102.03</v>
      </c>
      <c r="K47" s="195"/>
      <c r="L47" s="195"/>
      <c r="M47" s="195"/>
      <c r="N47" s="195"/>
      <c r="O47" s="195"/>
      <c r="P47" s="395"/>
      <c r="Q47" s="9"/>
      <c r="R47" s="3"/>
      <c r="S47" s="3"/>
      <c r="T47" s="3"/>
      <c r="U47" s="3"/>
      <c r="V47" s="3"/>
    </row>
    <row r="48" spans="1:22" s="10" customFormat="1" ht="24" customHeight="1" x14ac:dyDescent="0.25">
      <c r="A48" s="402"/>
      <c r="B48" s="449"/>
      <c r="C48" s="393"/>
      <c r="D48" s="61">
        <v>755</v>
      </c>
      <c r="E48" s="99" t="s">
        <v>16</v>
      </c>
      <c r="F48" s="99" t="s">
        <v>186</v>
      </c>
      <c r="G48" s="192" t="s">
        <v>46</v>
      </c>
      <c r="H48" s="195"/>
      <c r="I48" s="195"/>
      <c r="J48" s="195"/>
      <c r="K48" s="195">
        <f>2300</f>
        <v>2300</v>
      </c>
      <c r="L48" s="195">
        <v>4000</v>
      </c>
      <c r="M48" s="195">
        <v>1000</v>
      </c>
      <c r="N48" s="195">
        <v>1000</v>
      </c>
      <c r="O48" s="195">
        <v>1000</v>
      </c>
      <c r="P48" s="395"/>
      <c r="Q48" s="9"/>
      <c r="R48" s="3"/>
      <c r="S48" s="3"/>
      <c r="T48" s="3"/>
      <c r="U48" s="3"/>
      <c r="V48" s="3"/>
    </row>
    <row r="49" spans="1:22" s="10" customFormat="1" ht="24" customHeight="1" thickBot="1" x14ac:dyDescent="0.3">
      <c r="A49" s="421"/>
      <c r="B49" s="425"/>
      <c r="C49" s="394"/>
      <c r="D49" s="198">
        <v>755</v>
      </c>
      <c r="E49" s="182" t="s">
        <v>16</v>
      </c>
      <c r="F49" s="182" t="s">
        <v>258</v>
      </c>
      <c r="G49" s="198">
        <v>622</v>
      </c>
      <c r="H49" s="171"/>
      <c r="I49" s="171"/>
      <c r="J49" s="171"/>
      <c r="K49" s="171">
        <f>10500</f>
        <v>10500</v>
      </c>
      <c r="L49" s="171">
        <v>7500</v>
      </c>
      <c r="M49" s="171">
        <f>10500</f>
        <v>10500</v>
      </c>
      <c r="N49" s="171">
        <f>10500</f>
        <v>10500</v>
      </c>
      <c r="O49" s="171">
        <f>10500</f>
        <v>10500</v>
      </c>
      <c r="P49" s="396"/>
      <c r="Q49" s="9"/>
      <c r="R49" s="3"/>
      <c r="S49" s="3"/>
      <c r="T49" s="3"/>
      <c r="U49" s="3"/>
      <c r="V49" s="3"/>
    </row>
    <row r="50" spans="1:22" s="10" customFormat="1" ht="39.950000000000003" customHeight="1" x14ac:dyDescent="0.25">
      <c r="A50" s="401" t="s">
        <v>127</v>
      </c>
      <c r="B50" s="424" t="s">
        <v>47</v>
      </c>
      <c r="C50" s="400" t="s">
        <v>22</v>
      </c>
      <c r="D50" s="163">
        <v>755</v>
      </c>
      <c r="E50" s="162" t="s">
        <v>16</v>
      </c>
      <c r="F50" s="162" t="s">
        <v>48</v>
      </c>
      <c r="G50" s="180" t="s">
        <v>50</v>
      </c>
      <c r="H50" s="165">
        <v>54000</v>
      </c>
      <c r="I50" s="199"/>
      <c r="J50" s="181"/>
      <c r="K50" s="181"/>
      <c r="L50" s="181"/>
      <c r="M50" s="181"/>
      <c r="N50" s="181"/>
      <c r="O50" s="181"/>
      <c r="P50" s="407">
        <f>SUM(H50:O52)</f>
        <v>326008</v>
      </c>
      <c r="Q50" s="9"/>
      <c r="R50" s="3"/>
      <c r="S50" s="3"/>
      <c r="T50" s="3"/>
      <c r="U50" s="3"/>
      <c r="V50" s="3"/>
    </row>
    <row r="51" spans="1:22" s="10" customFormat="1" ht="39.950000000000003" customHeight="1" x14ac:dyDescent="0.25">
      <c r="A51" s="402"/>
      <c r="B51" s="449"/>
      <c r="C51" s="393"/>
      <c r="D51" s="61">
        <v>755</v>
      </c>
      <c r="E51" s="99" t="s">
        <v>16</v>
      </c>
      <c r="F51" s="99" t="s">
        <v>49</v>
      </c>
      <c r="G51" s="192" t="s">
        <v>293</v>
      </c>
      <c r="H51" s="200"/>
      <c r="I51" s="195">
        <v>117140</v>
      </c>
      <c r="J51" s="201">
        <v>130868</v>
      </c>
      <c r="K51" s="120"/>
      <c r="L51" s="197"/>
      <c r="M51" s="197"/>
      <c r="N51" s="197"/>
      <c r="O51" s="197"/>
      <c r="P51" s="395"/>
      <c r="Q51" s="9"/>
      <c r="R51" s="3"/>
      <c r="S51" s="3"/>
      <c r="T51" s="3"/>
      <c r="U51" s="3"/>
      <c r="V51" s="3"/>
    </row>
    <row r="52" spans="1:22" s="10" customFormat="1" ht="39.950000000000003" customHeight="1" thickBot="1" x14ac:dyDescent="0.3">
      <c r="A52" s="421"/>
      <c r="B52" s="425"/>
      <c r="C52" s="394"/>
      <c r="D52" s="169">
        <v>755</v>
      </c>
      <c r="E52" s="182" t="s">
        <v>16</v>
      </c>
      <c r="F52" s="182" t="s">
        <v>187</v>
      </c>
      <c r="G52" s="183" t="s">
        <v>293</v>
      </c>
      <c r="H52" s="171"/>
      <c r="I52" s="171"/>
      <c r="J52" s="171"/>
      <c r="K52" s="171">
        <v>24000</v>
      </c>
      <c r="L52" s="171">
        <v>0</v>
      </c>
      <c r="M52" s="171">
        <v>0</v>
      </c>
      <c r="N52" s="171">
        <v>0</v>
      </c>
      <c r="O52" s="171">
        <v>0</v>
      </c>
      <c r="P52" s="396"/>
      <c r="Q52" s="9"/>
      <c r="R52" s="3"/>
      <c r="S52" s="3"/>
      <c r="T52" s="3"/>
      <c r="U52" s="3"/>
      <c r="V52" s="3"/>
    </row>
    <row r="53" spans="1:22" s="10" customFormat="1" ht="57" customHeight="1" x14ac:dyDescent="0.25">
      <c r="A53" s="444" t="s">
        <v>128</v>
      </c>
      <c r="B53" s="449" t="s">
        <v>107</v>
      </c>
      <c r="C53" s="393" t="s">
        <v>22</v>
      </c>
      <c r="D53" s="450" t="s">
        <v>101</v>
      </c>
      <c r="E53" s="450" t="s">
        <v>101</v>
      </c>
      <c r="F53" s="450" t="s">
        <v>101</v>
      </c>
      <c r="G53" s="451" t="s">
        <v>101</v>
      </c>
      <c r="H53" s="395">
        <v>0</v>
      </c>
      <c r="I53" s="395">
        <v>0</v>
      </c>
      <c r="J53" s="395">
        <v>0</v>
      </c>
      <c r="K53" s="395">
        <v>0</v>
      </c>
      <c r="L53" s="395">
        <v>0</v>
      </c>
      <c r="M53" s="395">
        <v>0</v>
      </c>
      <c r="N53" s="395">
        <v>0</v>
      </c>
      <c r="O53" s="395">
        <v>0</v>
      </c>
      <c r="P53" s="395">
        <f>SUM(H53:L54)</f>
        <v>0</v>
      </c>
      <c r="Q53" s="9"/>
      <c r="R53" s="3"/>
      <c r="S53" s="3"/>
      <c r="T53" s="3"/>
      <c r="U53" s="3"/>
      <c r="V53" s="3"/>
    </row>
    <row r="54" spans="1:22" s="10" customFormat="1" ht="120" customHeight="1" thickBot="1" x14ac:dyDescent="0.3">
      <c r="A54" s="445"/>
      <c r="B54" s="449"/>
      <c r="C54" s="393"/>
      <c r="D54" s="450"/>
      <c r="E54" s="450"/>
      <c r="F54" s="450"/>
      <c r="G54" s="451"/>
      <c r="H54" s="395"/>
      <c r="I54" s="395"/>
      <c r="J54" s="395"/>
      <c r="K54" s="395"/>
      <c r="L54" s="395"/>
      <c r="M54" s="395"/>
      <c r="N54" s="395"/>
      <c r="O54" s="395"/>
      <c r="P54" s="395"/>
      <c r="Q54" s="9"/>
      <c r="R54" s="3"/>
      <c r="S54" s="3"/>
      <c r="T54" s="3"/>
      <c r="U54" s="3"/>
      <c r="V54" s="3"/>
    </row>
    <row r="55" spans="1:22" s="10" customFormat="1" ht="62.1" customHeight="1" x14ac:dyDescent="0.25">
      <c r="A55" s="402" t="s">
        <v>129</v>
      </c>
      <c r="B55" s="424" t="s">
        <v>108</v>
      </c>
      <c r="C55" s="400" t="s">
        <v>22</v>
      </c>
      <c r="D55" s="163">
        <v>755</v>
      </c>
      <c r="E55" s="162" t="s">
        <v>16</v>
      </c>
      <c r="F55" s="162" t="s">
        <v>111</v>
      </c>
      <c r="G55" s="180" t="s">
        <v>293</v>
      </c>
      <c r="H55" s="165">
        <v>0</v>
      </c>
      <c r="I55" s="165">
        <v>0</v>
      </c>
      <c r="J55" s="165">
        <f>100000-6000</f>
        <v>94000</v>
      </c>
      <c r="K55" s="181"/>
      <c r="L55" s="181"/>
      <c r="M55" s="181"/>
      <c r="N55" s="181"/>
      <c r="O55" s="181"/>
      <c r="P55" s="407">
        <f>SUM(H55:O56)</f>
        <v>744000</v>
      </c>
      <c r="Q55" s="9"/>
      <c r="R55" s="3"/>
      <c r="S55" s="3"/>
      <c r="T55" s="3"/>
      <c r="U55" s="3"/>
      <c r="V55" s="3"/>
    </row>
    <row r="56" spans="1:22" s="10" customFormat="1" ht="62.1" customHeight="1" thickBot="1" x14ac:dyDescent="0.3">
      <c r="A56" s="402"/>
      <c r="B56" s="425"/>
      <c r="C56" s="394"/>
      <c r="D56" s="99">
        <v>755</v>
      </c>
      <c r="E56" s="193" t="s">
        <v>16</v>
      </c>
      <c r="F56" s="193" t="s">
        <v>188</v>
      </c>
      <c r="G56" s="193" t="s">
        <v>293</v>
      </c>
      <c r="H56" s="193"/>
      <c r="I56" s="193"/>
      <c r="J56" s="193"/>
      <c r="K56" s="193">
        <f>200000+50000</f>
        <v>250000</v>
      </c>
      <c r="L56" s="171">
        <v>100000</v>
      </c>
      <c r="M56" s="171">
        <v>100000</v>
      </c>
      <c r="N56" s="171">
        <v>100000</v>
      </c>
      <c r="O56" s="171">
        <v>100000</v>
      </c>
      <c r="P56" s="396"/>
      <c r="Q56" s="9"/>
      <c r="R56" s="3"/>
      <c r="S56" s="3"/>
      <c r="T56" s="3"/>
      <c r="U56" s="3"/>
      <c r="V56" s="3"/>
    </row>
    <row r="57" spans="1:22" s="10" customFormat="1" ht="126" customHeight="1" thickBot="1" x14ac:dyDescent="0.3">
      <c r="A57" s="202" t="s">
        <v>130</v>
      </c>
      <c r="B57" s="203" t="s">
        <v>309</v>
      </c>
      <c r="C57" s="141" t="s">
        <v>22</v>
      </c>
      <c r="D57" s="160">
        <v>755</v>
      </c>
      <c r="E57" s="142" t="s">
        <v>19</v>
      </c>
      <c r="F57" s="142" t="s">
        <v>114</v>
      </c>
      <c r="G57" s="204" t="s">
        <v>28</v>
      </c>
      <c r="H57" s="205">
        <v>0</v>
      </c>
      <c r="I57" s="205">
        <v>0</v>
      </c>
      <c r="J57" s="205">
        <f>47000+15000-7400</f>
        <v>54600</v>
      </c>
      <c r="K57" s="205">
        <v>0</v>
      </c>
      <c r="L57" s="205">
        <v>0</v>
      </c>
      <c r="M57" s="205">
        <v>0</v>
      </c>
      <c r="N57" s="205">
        <v>0</v>
      </c>
      <c r="O57" s="205">
        <v>0</v>
      </c>
      <c r="P57" s="205">
        <f>SUM(H57:O57)</f>
        <v>54600</v>
      </c>
      <c r="Q57" s="9"/>
      <c r="R57" s="3"/>
      <c r="S57" s="3"/>
      <c r="T57" s="3"/>
      <c r="U57" s="3"/>
      <c r="V57" s="3"/>
    </row>
    <row r="58" spans="1:22" s="10" customFormat="1" ht="116.25" customHeight="1" thickBot="1" x14ac:dyDescent="0.3">
      <c r="A58" s="202" t="s">
        <v>351</v>
      </c>
      <c r="B58" s="206" t="s">
        <v>363</v>
      </c>
      <c r="C58" s="141" t="s">
        <v>22</v>
      </c>
      <c r="D58" s="160">
        <v>755</v>
      </c>
      <c r="E58" s="142" t="s">
        <v>16</v>
      </c>
      <c r="F58" s="142" t="s">
        <v>352</v>
      </c>
      <c r="G58" s="207" t="s">
        <v>361</v>
      </c>
      <c r="H58" s="205"/>
      <c r="I58" s="205"/>
      <c r="J58" s="205"/>
      <c r="K58" s="205">
        <v>0</v>
      </c>
      <c r="L58" s="205">
        <v>0</v>
      </c>
      <c r="M58" s="205">
        <v>0</v>
      </c>
      <c r="N58" s="205">
        <v>0</v>
      </c>
      <c r="O58" s="205">
        <v>0</v>
      </c>
      <c r="P58" s="205"/>
      <c r="Q58" s="9"/>
      <c r="R58" s="3"/>
      <c r="S58" s="3"/>
      <c r="T58" s="3"/>
      <c r="U58" s="3"/>
      <c r="V58" s="3"/>
    </row>
    <row r="59" spans="1:22" s="10" customFormat="1" ht="19.5" customHeight="1" thickBot="1" x14ac:dyDescent="0.3">
      <c r="A59" s="446" t="s">
        <v>131</v>
      </c>
      <c r="B59" s="412" t="s">
        <v>349</v>
      </c>
      <c r="C59" s="156" t="s">
        <v>27</v>
      </c>
      <c r="D59" s="156" t="s">
        <v>294</v>
      </c>
      <c r="E59" s="139" t="s">
        <v>294</v>
      </c>
      <c r="F59" s="139" t="s">
        <v>294</v>
      </c>
      <c r="G59" s="139" t="s">
        <v>294</v>
      </c>
      <c r="H59" s="208">
        <f>SUM(H60:H61)</f>
        <v>9793.76</v>
      </c>
      <c r="I59" s="208">
        <f>SUM(I60:I61)</f>
        <v>14000</v>
      </c>
      <c r="J59" s="208">
        <f>SUM(J60:J61)</f>
        <v>9449.0715199999995</v>
      </c>
      <c r="K59" s="208">
        <f t="shared" ref="K59:O59" si="19">SUM(K60:K62)</f>
        <v>2834.721</v>
      </c>
      <c r="L59" s="208">
        <f t="shared" si="19"/>
        <v>0</v>
      </c>
      <c r="M59" s="208">
        <f t="shared" si="19"/>
        <v>0</v>
      </c>
      <c r="N59" s="208">
        <f t="shared" si="19"/>
        <v>0</v>
      </c>
      <c r="O59" s="208">
        <f t="shared" si="19"/>
        <v>0</v>
      </c>
      <c r="P59" s="185">
        <f>SUM(H59:O59)</f>
        <v>36077.552519999997</v>
      </c>
      <c r="Q59" s="9"/>
      <c r="R59" s="3"/>
      <c r="S59" s="3"/>
      <c r="T59" s="3"/>
      <c r="U59" s="3"/>
      <c r="V59" s="3"/>
    </row>
    <row r="60" spans="1:22" s="10" customFormat="1" ht="42" customHeight="1" x14ac:dyDescent="0.25">
      <c r="A60" s="446"/>
      <c r="B60" s="413"/>
      <c r="C60" s="412" t="s">
        <v>22</v>
      </c>
      <c r="D60" s="209">
        <v>755</v>
      </c>
      <c r="E60" s="210" t="s">
        <v>19</v>
      </c>
      <c r="F60" s="210" t="s">
        <v>34</v>
      </c>
      <c r="G60" s="211" t="s">
        <v>40</v>
      </c>
      <c r="H60" s="212">
        <f>H63</f>
        <v>9793.76</v>
      </c>
      <c r="I60" s="213"/>
      <c r="J60" s="213"/>
      <c r="K60" s="214"/>
      <c r="L60" s="214"/>
      <c r="M60" s="214"/>
      <c r="N60" s="214"/>
      <c r="O60" s="214"/>
      <c r="P60" s="468">
        <f>SUM(H60:O62)</f>
        <v>36077.552519999997</v>
      </c>
      <c r="Q60" s="9"/>
      <c r="R60" s="3"/>
      <c r="S60" s="3"/>
      <c r="T60" s="3"/>
      <c r="U60" s="3"/>
      <c r="V60" s="3"/>
    </row>
    <row r="61" spans="1:22" s="10" customFormat="1" ht="42" customHeight="1" x14ac:dyDescent="0.25">
      <c r="A61" s="446"/>
      <c r="B61" s="413"/>
      <c r="C61" s="413"/>
      <c r="D61" s="136">
        <v>755</v>
      </c>
      <c r="E61" s="100" t="s">
        <v>19</v>
      </c>
      <c r="F61" s="100" t="s">
        <v>53</v>
      </c>
      <c r="G61" s="215" t="s">
        <v>28</v>
      </c>
      <c r="H61" s="216"/>
      <c r="I61" s="216">
        <f>I64</f>
        <v>14000</v>
      </c>
      <c r="J61" s="216">
        <f>J64</f>
        <v>9449.0715199999995</v>
      </c>
      <c r="K61" s="213"/>
      <c r="L61" s="213"/>
      <c r="M61" s="213"/>
      <c r="N61" s="213"/>
      <c r="O61" s="213"/>
      <c r="P61" s="468"/>
      <c r="Q61" s="9"/>
      <c r="R61" s="3"/>
      <c r="S61" s="3"/>
      <c r="T61" s="3"/>
      <c r="U61" s="3"/>
      <c r="V61" s="3"/>
    </row>
    <row r="62" spans="1:22" s="10" customFormat="1" ht="42" customHeight="1" thickBot="1" x14ac:dyDescent="0.3">
      <c r="A62" s="446"/>
      <c r="B62" s="414"/>
      <c r="C62" s="414"/>
      <c r="D62" s="149">
        <v>755</v>
      </c>
      <c r="E62" s="153" t="s">
        <v>19</v>
      </c>
      <c r="F62" s="217">
        <v>1110300000</v>
      </c>
      <c r="G62" s="218" t="s">
        <v>28</v>
      </c>
      <c r="H62" s="219"/>
      <c r="I62" s="219"/>
      <c r="J62" s="219"/>
      <c r="K62" s="189">
        <f>K65</f>
        <v>2834.721</v>
      </c>
      <c r="L62" s="189"/>
      <c r="M62" s="189"/>
      <c r="N62" s="189"/>
      <c r="O62" s="189"/>
      <c r="P62" s="411"/>
      <c r="Q62" s="9"/>
      <c r="R62" s="3"/>
      <c r="S62" s="3"/>
      <c r="T62" s="3"/>
      <c r="U62" s="3"/>
      <c r="V62" s="3"/>
    </row>
    <row r="63" spans="1:22" s="10" customFormat="1" ht="39.950000000000003" customHeight="1" x14ac:dyDescent="0.25">
      <c r="A63" s="401" t="s">
        <v>348</v>
      </c>
      <c r="B63" s="424" t="s">
        <v>387</v>
      </c>
      <c r="C63" s="400" t="s">
        <v>22</v>
      </c>
      <c r="D63" s="163">
        <v>755</v>
      </c>
      <c r="E63" s="210" t="s">
        <v>19</v>
      </c>
      <c r="F63" s="210" t="s">
        <v>34</v>
      </c>
      <c r="G63" s="211" t="s">
        <v>40</v>
      </c>
      <c r="H63" s="212">
        <v>9793.76</v>
      </c>
      <c r="I63" s="213"/>
      <c r="J63" s="213"/>
      <c r="K63" s="214"/>
      <c r="L63" s="214"/>
      <c r="M63" s="214"/>
      <c r="N63" s="214"/>
      <c r="O63" s="214"/>
      <c r="P63" s="468">
        <f>SUM(H63:O65)</f>
        <v>36077.552519999997</v>
      </c>
      <c r="Q63" s="9"/>
      <c r="R63" s="3"/>
      <c r="S63" s="3"/>
      <c r="T63" s="3"/>
      <c r="U63" s="3"/>
      <c r="V63" s="3"/>
    </row>
    <row r="64" spans="1:22" s="10" customFormat="1" ht="39.950000000000003" customHeight="1" x14ac:dyDescent="0.25">
      <c r="A64" s="402"/>
      <c r="B64" s="449"/>
      <c r="C64" s="393"/>
      <c r="D64" s="61">
        <v>755</v>
      </c>
      <c r="E64" s="100" t="s">
        <v>19</v>
      </c>
      <c r="F64" s="100" t="s">
        <v>53</v>
      </c>
      <c r="G64" s="215" t="s">
        <v>28</v>
      </c>
      <c r="H64" s="216"/>
      <c r="I64" s="216">
        <v>14000</v>
      </c>
      <c r="J64" s="216">
        <v>9449.0715199999995</v>
      </c>
      <c r="K64" s="213"/>
      <c r="L64" s="213"/>
      <c r="M64" s="213"/>
      <c r="N64" s="213"/>
      <c r="O64" s="213"/>
      <c r="P64" s="468"/>
      <c r="Q64" s="9"/>
      <c r="R64" s="3"/>
      <c r="S64" s="3"/>
      <c r="T64" s="3"/>
      <c r="U64" s="3"/>
      <c r="V64" s="3"/>
    </row>
    <row r="65" spans="1:22" s="10" customFormat="1" ht="61.5" customHeight="1" thickBot="1" x14ac:dyDescent="0.3">
      <c r="A65" s="421"/>
      <c r="B65" s="425"/>
      <c r="C65" s="394"/>
      <c r="D65" s="169">
        <v>755</v>
      </c>
      <c r="E65" s="153" t="s">
        <v>19</v>
      </c>
      <c r="F65" s="217">
        <v>1110320580</v>
      </c>
      <c r="G65" s="218" t="s">
        <v>28</v>
      </c>
      <c r="H65" s="219"/>
      <c r="I65" s="219"/>
      <c r="J65" s="219"/>
      <c r="K65" s="189">
        <v>2834.721</v>
      </c>
      <c r="L65" s="189"/>
      <c r="M65" s="189"/>
      <c r="N65" s="189"/>
      <c r="O65" s="189"/>
      <c r="P65" s="411"/>
      <c r="Q65" s="9"/>
      <c r="R65" s="3"/>
      <c r="S65" s="3"/>
      <c r="T65" s="3"/>
      <c r="U65" s="3"/>
      <c r="V65" s="3"/>
    </row>
    <row r="66" spans="1:22" s="13" customFormat="1" ht="21" customHeight="1" thickBot="1" x14ac:dyDescent="0.25">
      <c r="A66" s="397" t="s">
        <v>24</v>
      </c>
      <c r="B66" s="412" t="s">
        <v>275</v>
      </c>
      <c r="C66" s="156" t="s">
        <v>27</v>
      </c>
      <c r="D66" s="220" t="s">
        <v>294</v>
      </c>
      <c r="E66" s="220" t="s">
        <v>294</v>
      </c>
      <c r="F66" s="220" t="s">
        <v>294</v>
      </c>
      <c r="G66" s="220" t="s">
        <v>294</v>
      </c>
      <c r="H66" s="184">
        <f>H72+H74+H93+H95</f>
        <v>108467.24</v>
      </c>
      <c r="I66" s="184">
        <f>I72+I74+I93+I95</f>
        <v>20928.59</v>
      </c>
      <c r="J66" s="184">
        <f>J72+J74+J93+J95</f>
        <v>7827.8276800000003</v>
      </c>
      <c r="K66" s="184">
        <f>K71+K92</f>
        <v>0</v>
      </c>
      <c r="L66" s="184">
        <f>L71+L92</f>
        <v>0</v>
      </c>
      <c r="M66" s="184">
        <f>M71+M92</f>
        <v>0</v>
      </c>
      <c r="N66" s="184">
        <f>N71+N92</f>
        <v>0</v>
      </c>
      <c r="O66" s="184">
        <f>O71+O92</f>
        <v>0</v>
      </c>
      <c r="P66" s="184">
        <f>SUM(H66:O66)</f>
        <v>137223.65768</v>
      </c>
      <c r="Q66" s="9"/>
      <c r="R66" s="3"/>
      <c r="S66" s="3"/>
      <c r="T66" s="3"/>
      <c r="U66" s="3"/>
      <c r="V66" s="3"/>
    </row>
    <row r="67" spans="1:22" s="13" customFormat="1" ht="35.1" customHeight="1" x14ac:dyDescent="0.2">
      <c r="A67" s="398"/>
      <c r="B67" s="413"/>
      <c r="C67" s="412" t="s">
        <v>22</v>
      </c>
      <c r="D67" s="151" t="s">
        <v>35</v>
      </c>
      <c r="E67" s="151" t="s">
        <v>294</v>
      </c>
      <c r="F67" s="222" t="s">
        <v>294</v>
      </c>
      <c r="G67" s="151" t="s">
        <v>294</v>
      </c>
      <c r="H67" s="186">
        <f>H72+H93</f>
        <v>108467.24</v>
      </c>
      <c r="I67" s="186">
        <f>I72+I93</f>
        <v>18678.89</v>
      </c>
      <c r="J67" s="186">
        <f>J72+J93</f>
        <v>7827.8276800000003</v>
      </c>
      <c r="K67" s="186"/>
      <c r="L67" s="186"/>
      <c r="M67" s="186"/>
      <c r="N67" s="186"/>
      <c r="O67" s="186"/>
      <c r="P67" s="410">
        <f>SUM(H67:O68)</f>
        <v>134973.95767999999</v>
      </c>
      <c r="Q67" s="9"/>
      <c r="R67" s="3"/>
      <c r="S67" s="3"/>
      <c r="T67" s="3"/>
      <c r="U67" s="3"/>
      <c r="V67" s="3"/>
    </row>
    <row r="68" spans="1:22" s="13" customFormat="1" ht="35.1" customHeight="1" thickBot="1" x14ac:dyDescent="0.3">
      <c r="A68" s="398"/>
      <c r="B68" s="413"/>
      <c r="C68" s="414"/>
      <c r="D68" s="187">
        <v>755</v>
      </c>
      <c r="E68" s="187" t="s">
        <v>294</v>
      </c>
      <c r="F68" s="188">
        <v>1120000000</v>
      </c>
      <c r="G68" s="187" t="s">
        <v>294</v>
      </c>
      <c r="H68" s="154"/>
      <c r="I68" s="154"/>
      <c r="J68" s="154"/>
      <c r="K68" s="189">
        <f t="shared" ref="K68:O68" si="20">K73+K94</f>
        <v>0</v>
      </c>
      <c r="L68" s="189">
        <f t="shared" si="20"/>
        <v>0</v>
      </c>
      <c r="M68" s="189">
        <f t="shared" si="20"/>
        <v>0</v>
      </c>
      <c r="N68" s="189">
        <f t="shared" si="20"/>
        <v>0</v>
      </c>
      <c r="O68" s="189">
        <f t="shared" si="20"/>
        <v>0</v>
      </c>
      <c r="P68" s="411"/>
      <c r="Q68" s="9"/>
      <c r="R68" s="3"/>
      <c r="S68" s="3"/>
      <c r="T68" s="3"/>
      <c r="U68" s="3"/>
      <c r="V68" s="3"/>
    </row>
    <row r="69" spans="1:22" s="13" customFormat="1" ht="77.25" customHeight="1" thickBot="1" x14ac:dyDescent="0.25">
      <c r="A69" s="398"/>
      <c r="B69" s="413"/>
      <c r="C69" s="223" t="s">
        <v>66</v>
      </c>
      <c r="D69" s="153" t="s">
        <v>33</v>
      </c>
      <c r="E69" s="224" t="s">
        <v>18</v>
      </c>
      <c r="F69" s="149">
        <v>1122217</v>
      </c>
      <c r="G69" s="225" t="s">
        <v>28</v>
      </c>
      <c r="H69" s="221">
        <f>H74</f>
        <v>0</v>
      </c>
      <c r="I69" s="221">
        <f t="shared" ref="I69:O69" si="21">I74</f>
        <v>949.69999999999982</v>
      </c>
      <c r="J69" s="221">
        <f t="shared" si="21"/>
        <v>0</v>
      </c>
      <c r="K69" s="221">
        <f t="shared" si="21"/>
        <v>0</v>
      </c>
      <c r="L69" s="221">
        <f t="shared" si="21"/>
        <v>0</v>
      </c>
      <c r="M69" s="221">
        <f t="shared" si="21"/>
        <v>0</v>
      </c>
      <c r="N69" s="221">
        <f t="shared" si="21"/>
        <v>0</v>
      </c>
      <c r="O69" s="221">
        <f t="shared" si="21"/>
        <v>0</v>
      </c>
      <c r="P69" s="184">
        <f t="shared" ref="P69:P70" si="22">SUM(H69:O69)</f>
        <v>949.69999999999982</v>
      </c>
      <c r="Q69" s="9"/>
      <c r="R69" s="3"/>
      <c r="S69" s="3"/>
      <c r="T69" s="3"/>
      <c r="U69" s="3"/>
      <c r="V69" s="3"/>
    </row>
    <row r="70" spans="1:22" s="13" customFormat="1" ht="53.25" customHeight="1" thickBot="1" x14ac:dyDescent="0.25">
      <c r="A70" s="399"/>
      <c r="B70" s="413"/>
      <c r="C70" s="226" t="s">
        <v>63</v>
      </c>
      <c r="D70" s="156">
        <v>760</v>
      </c>
      <c r="E70" s="227" t="s">
        <v>64</v>
      </c>
      <c r="F70" s="202">
        <v>1122144</v>
      </c>
      <c r="G70" s="228" t="s">
        <v>65</v>
      </c>
      <c r="H70" s="184">
        <f>H95</f>
        <v>0</v>
      </c>
      <c r="I70" s="184">
        <f t="shared" ref="I70:O70" si="23">I95</f>
        <v>1300</v>
      </c>
      <c r="J70" s="184">
        <f t="shared" si="23"/>
        <v>0</v>
      </c>
      <c r="K70" s="184">
        <f t="shared" si="23"/>
        <v>0</v>
      </c>
      <c r="L70" s="184">
        <f t="shared" si="23"/>
        <v>0</v>
      </c>
      <c r="M70" s="184">
        <f t="shared" si="23"/>
        <v>0</v>
      </c>
      <c r="N70" s="184">
        <f t="shared" si="23"/>
        <v>0</v>
      </c>
      <c r="O70" s="184">
        <f t="shared" si="23"/>
        <v>0</v>
      </c>
      <c r="P70" s="184">
        <f t="shared" si="22"/>
        <v>1300</v>
      </c>
      <c r="Q70" s="9"/>
      <c r="R70" s="3"/>
      <c r="S70" s="3"/>
      <c r="T70" s="3"/>
      <c r="U70" s="3"/>
      <c r="V70" s="3"/>
    </row>
    <row r="71" spans="1:22" s="13" customFormat="1" ht="21" customHeight="1" thickBot="1" x14ac:dyDescent="0.25">
      <c r="A71" s="397" t="s">
        <v>0</v>
      </c>
      <c r="B71" s="412" t="s">
        <v>296</v>
      </c>
      <c r="C71" s="229" t="s">
        <v>27</v>
      </c>
      <c r="D71" s="153" t="s">
        <v>294</v>
      </c>
      <c r="E71" s="153" t="s">
        <v>294</v>
      </c>
      <c r="F71" s="153" t="s">
        <v>294</v>
      </c>
      <c r="G71" s="225" t="s">
        <v>294</v>
      </c>
      <c r="H71" s="219">
        <f t="shared" ref="H71:J71" si="24">H75+SUM(H81:H84)+SUM(H86:H91)+H85</f>
        <v>105467.24</v>
      </c>
      <c r="I71" s="219">
        <f t="shared" si="24"/>
        <v>17228.59</v>
      </c>
      <c r="J71" s="219">
        <f t="shared" si="24"/>
        <v>6172.3476799999999</v>
      </c>
      <c r="K71" s="219">
        <f>K75+SUM(K81:K84)+SUM(K86:K91)+K85</f>
        <v>0</v>
      </c>
      <c r="L71" s="219">
        <f t="shared" ref="L71:O71" si="25">L75+SUM(L81:L84)+SUM(L86:L91)+L85</f>
        <v>0</v>
      </c>
      <c r="M71" s="219">
        <f t="shared" si="25"/>
        <v>0</v>
      </c>
      <c r="N71" s="219">
        <f t="shared" si="25"/>
        <v>0</v>
      </c>
      <c r="O71" s="219">
        <f t="shared" si="25"/>
        <v>0</v>
      </c>
      <c r="P71" s="219">
        <f>SUM(H71:O71)</f>
        <v>128868.17768000001</v>
      </c>
      <c r="Q71" s="9"/>
      <c r="R71" s="3"/>
      <c r="S71" s="3"/>
      <c r="T71" s="3"/>
      <c r="U71" s="3"/>
      <c r="V71" s="3"/>
    </row>
    <row r="72" spans="1:22" s="13" customFormat="1" ht="35.1" customHeight="1" x14ac:dyDescent="0.2">
      <c r="A72" s="398"/>
      <c r="B72" s="413"/>
      <c r="C72" s="412" t="s">
        <v>22</v>
      </c>
      <c r="D72" s="220" t="s">
        <v>35</v>
      </c>
      <c r="E72" s="230" t="s">
        <v>19</v>
      </c>
      <c r="F72" s="222" t="s">
        <v>294</v>
      </c>
      <c r="G72" s="151" t="s">
        <v>294</v>
      </c>
      <c r="H72" s="186">
        <f>H75+SUM(H81:H84)+SUM(H86:H91)</f>
        <v>105467.24</v>
      </c>
      <c r="I72" s="186">
        <f>I75+SUM(I81:I84)+SUM(I86:I91)</f>
        <v>16278.89</v>
      </c>
      <c r="J72" s="186">
        <f>J75+SUM(J81:J84)+SUM(J86:J91)</f>
        <v>6172.3476799999999</v>
      </c>
      <c r="K72" s="186"/>
      <c r="L72" s="186"/>
      <c r="M72" s="186"/>
      <c r="N72" s="186"/>
      <c r="O72" s="186"/>
      <c r="P72" s="410">
        <f>SUM(H72:O73)</f>
        <v>127918.47768000001</v>
      </c>
      <c r="Q72" s="9"/>
      <c r="R72" s="3"/>
      <c r="S72" s="3"/>
      <c r="T72" s="3"/>
      <c r="U72" s="3"/>
      <c r="V72" s="3"/>
    </row>
    <row r="73" spans="1:22" s="13" customFormat="1" ht="35.1" customHeight="1" thickBot="1" x14ac:dyDescent="0.3">
      <c r="A73" s="398"/>
      <c r="B73" s="413"/>
      <c r="C73" s="414"/>
      <c r="D73" s="231">
        <v>755</v>
      </c>
      <c r="E73" s="231" t="s">
        <v>19</v>
      </c>
      <c r="F73" s="188">
        <v>1120100000</v>
      </c>
      <c r="G73" s="188" t="s">
        <v>294</v>
      </c>
      <c r="H73" s="154"/>
      <c r="I73" s="154"/>
      <c r="J73" s="154"/>
      <c r="K73" s="189">
        <f t="shared" ref="K73:O73" si="26">K75+SUM(K81:K84)+SUM(K86:K91)</f>
        <v>0</v>
      </c>
      <c r="L73" s="189">
        <f t="shared" si="26"/>
        <v>0</v>
      </c>
      <c r="M73" s="189">
        <f t="shared" si="26"/>
        <v>0</v>
      </c>
      <c r="N73" s="189">
        <f t="shared" si="26"/>
        <v>0</v>
      </c>
      <c r="O73" s="189">
        <f t="shared" si="26"/>
        <v>0</v>
      </c>
      <c r="P73" s="411"/>
      <c r="Q73" s="9"/>
      <c r="R73" s="3"/>
      <c r="S73" s="3"/>
      <c r="T73" s="3"/>
      <c r="U73" s="3"/>
      <c r="V73" s="3"/>
    </row>
    <row r="74" spans="1:22" s="13" customFormat="1" ht="70.5" customHeight="1" thickBot="1" x14ac:dyDescent="0.25">
      <c r="A74" s="399"/>
      <c r="B74" s="414"/>
      <c r="C74" s="226" t="s">
        <v>66</v>
      </c>
      <c r="D74" s="156">
        <v>779</v>
      </c>
      <c r="E74" s="227" t="s">
        <v>18</v>
      </c>
      <c r="F74" s="149" t="s">
        <v>294</v>
      </c>
      <c r="G74" s="153" t="s">
        <v>294</v>
      </c>
      <c r="H74" s="184"/>
      <c r="I74" s="184">
        <f t="shared" ref="I74:J74" si="27">I85</f>
        <v>949.69999999999982</v>
      </c>
      <c r="J74" s="184">
        <f t="shared" si="27"/>
        <v>0</v>
      </c>
      <c r="K74" s="184"/>
      <c r="L74" s="184"/>
      <c r="M74" s="184"/>
      <c r="N74" s="184"/>
      <c r="O74" s="184"/>
      <c r="P74" s="184">
        <f>SUM(H74:O74)</f>
        <v>949.69999999999982</v>
      </c>
      <c r="Q74" s="9"/>
      <c r="R74" s="3"/>
      <c r="S74" s="3"/>
      <c r="T74" s="3"/>
      <c r="U74" s="3"/>
      <c r="V74" s="3"/>
    </row>
    <row r="75" spans="1:22" s="10" customFormat="1" ht="99" customHeight="1" thickBot="1" x14ac:dyDescent="0.3">
      <c r="A75" s="156" t="s">
        <v>182</v>
      </c>
      <c r="B75" s="232" t="s">
        <v>58</v>
      </c>
      <c r="C75" s="141" t="s">
        <v>22</v>
      </c>
      <c r="D75" s="233">
        <v>755</v>
      </c>
      <c r="E75" s="234" t="s">
        <v>19</v>
      </c>
      <c r="F75" s="235" t="s">
        <v>294</v>
      </c>
      <c r="G75" s="234" t="s">
        <v>294</v>
      </c>
      <c r="H75" s="236">
        <f>SUM(H76:H80)</f>
        <v>75867.240000000005</v>
      </c>
      <c r="I75" s="236">
        <f t="shared" ref="I75:O75" si="28">SUM(I76:I80)</f>
        <v>9308.89</v>
      </c>
      <c r="J75" s="236">
        <f t="shared" si="28"/>
        <v>4418.9120800000001</v>
      </c>
      <c r="K75" s="236">
        <f t="shared" si="28"/>
        <v>0</v>
      </c>
      <c r="L75" s="236">
        <f t="shared" si="28"/>
        <v>0</v>
      </c>
      <c r="M75" s="236">
        <f t="shared" si="28"/>
        <v>0</v>
      </c>
      <c r="N75" s="236">
        <f t="shared" si="28"/>
        <v>0</v>
      </c>
      <c r="O75" s="236">
        <f t="shared" si="28"/>
        <v>0</v>
      </c>
      <c r="P75" s="236">
        <f>SUM(H75:O75)</f>
        <v>89595.042079999999</v>
      </c>
      <c r="Q75" s="9"/>
      <c r="R75" s="3"/>
      <c r="S75" s="3"/>
      <c r="T75" s="3"/>
      <c r="U75" s="3"/>
      <c r="V75" s="3"/>
    </row>
    <row r="76" spans="1:22" s="10" customFormat="1" ht="33" customHeight="1" x14ac:dyDescent="0.25">
      <c r="A76" s="467" t="s">
        <v>200</v>
      </c>
      <c r="B76" s="393" t="s">
        <v>58</v>
      </c>
      <c r="C76" s="393" t="s">
        <v>22</v>
      </c>
      <c r="D76" s="237">
        <v>755</v>
      </c>
      <c r="E76" s="238" t="s">
        <v>19</v>
      </c>
      <c r="F76" s="110">
        <v>5221020</v>
      </c>
      <c r="G76" s="190" t="s">
        <v>40</v>
      </c>
      <c r="H76" s="174">
        <v>75867.240000000005</v>
      </c>
      <c r="I76" s="175"/>
      <c r="J76" s="175"/>
      <c r="K76" s="175"/>
      <c r="L76" s="175"/>
      <c r="M76" s="175"/>
      <c r="N76" s="175"/>
      <c r="O76" s="175"/>
      <c r="P76" s="395">
        <f>SUM(H76:O78)</f>
        <v>88753.719360000003</v>
      </c>
      <c r="Q76" s="9"/>
      <c r="R76" s="3"/>
      <c r="S76" s="3"/>
      <c r="T76" s="3"/>
      <c r="U76" s="3"/>
      <c r="V76" s="3"/>
    </row>
    <row r="77" spans="1:22" s="10" customFormat="1" ht="33" customHeight="1" x14ac:dyDescent="0.25">
      <c r="A77" s="467"/>
      <c r="B77" s="393"/>
      <c r="C77" s="393"/>
      <c r="D77" s="106">
        <v>755</v>
      </c>
      <c r="E77" s="239" t="s">
        <v>19</v>
      </c>
      <c r="F77" s="61">
        <v>1122146</v>
      </c>
      <c r="G77" s="240" t="s">
        <v>28</v>
      </c>
      <c r="H77" s="195"/>
      <c r="I77" s="195">
        <f>9000-691.11+1450-450</f>
        <v>9308.89</v>
      </c>
      <c r="J77" s="195">
        <f>2232.38+2186.53208-841.32272</f>
        <v>3577.5893599999999</v>
      </c>
      <c r="K77" s="197"/>
      <c r="L77" s="197"/>
      <c r="M77" s="197"/>
      <c r="N77" s="197"/>
      <c r="O77" s="197"/>
      <c r="P77" s="395"/>
      <c r="Q77" s="9"/>
      <c r="R77" s="3"/>
      <c r="S77" s="3"/>
      <c r="T77" s="3"/>
      <c r="U77" s="3"/>
      <c r="V77" s="3"/>
    </row>
    <row r="78" spans="1:22" s="10" customFormat="1" ht="33" customHeight="1" thickBot="1" x14ac:dyDescent="0.3">
      <c r="A78" s="423"/>
      <c r="B78" s="393"/>
      <c r="C78" s="393"/>
      <c r="D78" s="241">
        <v>755</v>
      </c>
      <c r="E78" s="242" t="s">
        <v>19</v>
      </c>
      <c r="F78" s="176">
        <v>1120121460</v>
      </c>
      <c r="G78" s="243" t="s">
        <v>28</v>
      </c>
      <c r="H78" s="179"/>
      <c r="I78" s="179"/>
      <c r="J78" s="179"/>
      <c r="K78" s="179">
        <v>0</v>
      </c>
      <c r="L78" s="179">
        <v>0</v>
      </c>
      <c r="M78" s="179">
        <v>0</v>
      </c>
      <c r="N78" s="179">
        <v>0</v>
      </c>
      <c r="O78" s="179">
        <v>0</v>
      </c>
      <c r="P78" s="395"/>
      <c r="Q78" s="9"/>
      <c r="R78" s="3"/>
      <c r="S78" s="3"/>
      <c r="T78" s="3"/>
      <c r="U78" s="3"/>
      <c r="V78" s="3"/>
    </row>
    <row r="79" spans="1:22" s="10" customFormat="1" ht="33" customHeight="1" x14ac:dyDescent="0.25">
      <c r="A79" s="397" t="s">
        <v>201</v>
      </c>
      <c r="B79" s="400" t="s">
        <v>184</v>
      </c>
      <c r="C79" s="400" t="s">
        <v>22</v>
      </c>
      <c r="D79" s="244">
        <v>755</v>
      </c>
      <c r="E79" s="245" t="s">
        <v>19</v>
      </c>
      <c r="F79" s="163">
        <v>1122146</v>
      </c>
      <c r="G79" s="164" t="s">
        <v>28</v>
      </c>
      <c r="H79" s="165"/>
      <c r="I79" s="165">
        <v>0</v>
      </c>
      <c r="J79" s="165">
        <v>841.32272</v>
      </c>
      <c r="K79" s="181"/>
      <c r="L79" s="181"/>
      <c r="M79" s="181"/>
      <c r="N79" s="181"/>
      <c r="O79" s="181"/>
      <c r="P79" s="407">
        <f>SUM(H79:O80)</f>
        <v>841.32272</v>
      </c>
      <c r="Q79" s="9"/>
      <c r="R79" s="3"/>
      <c r="S79" s="3"/>
      <c r="T79" s="3"/>
      <c r="U79" s="3"/>
      <c r="V79" s="3"/>
    </row>
    <row r="80" spans="1:22" s="10" customFormat="1" ht="38.25" customHeight="1" thickBot="1" x14ac:dyDescent="0.3">
      <c r="A80" s="399"/>
      <c r="B80" s="394"/>
      <c r="C80" s="394"/>
      <c r="D80" s="246">
        <v>755</v>
      </c>
      <c r="E80" s="247" t="s">
        <v>19</v>
      </c>
      <c r="F80" s="169">
        <v>1120121460</v>
      </c>
      <c r="G80" s="170" t="s">
        <v>28</v>
      </c>
      <c r="H80" s="171"/>
      <c r="I80" s="171"/>
      <c r="J80" s="171"/>
      <c r="K80" s="171">
        <v>0</v>
      </c>
      <c r="L80" s="171">
        <v>0</v>
      </c>
      <c r="M80" s="171">
        <v>0</v>
      </c>
      <c r="N80" s="171">
        <v>0</v>
      </c>
      <c r="O80" s="171">
        <v>0</v>
      </c>
      <c r="P80" s="396"/>
      <c r="Q80" s="9"/>
      <c r="R80" s="3"/>
      <c r="S80" s="3"/>
      <c r="T80" s="3"/>
      <c r="U80" s="3"/>
      <c r="V80" s="3"/>
    </row>
    <row r="81" spans="1:22" s="10" customFormat="1" ht="24.95" customHeight="1" x14ac:dyDescent="0.25">
      <c r="A81" s="397" t="s">
        <v>183</v>
      </c>
      <c r="B81" s="400" t="s">
        <v>59</v>
      </c>
      <c r="C81" s="400" t="s">
        <v>22</v>
      </c>
      <c r="D81" s="244">
        <v>755</v>
      </c>
      <c r="E81" s="245" t="s">
        <v>19</v>
      </c>
      <c r="F81" s="163">
        <v>5221020</v>
      </c>
      <c r="G81" s="164" t="s">
        <v>40</v>
      </c>
      <c r="H81" s="248">
        <v>0</v>
      </c>
      <c r="I81" s="249"/>
      <c r="J81" s="249"/>
      <c r="K81" s="250"/>
      <c r="L81" s="250"/>
      <c r="M81" s="250"/>
      <c r="N81" s="250"/>
      <c r="O81" s="250"/>
      <c r="P81" s="407">
        <f>SUM(H81:O84)</f>
        <v>500</v>
      </c>
      <c r="Q81" s="9"/>
      <c r="R81" s="3"/>
      <c r="S81" s="3"/>
      <c r="T81" s="3"/>
      <c r="U81" s="3"/>
      <c r="V81" s="3"/>
    </row>
    <row r="82" spans="1:22" s="134" customFormat="1" ht="24.95" customHeight="1" x14ac:dyDescent="0.25">
      <c r="A82" s="398"/>
      <c r="B82" s="393"/>
      <c r="C82" s="393"/>
      <c r="D82" s="106">
        <v>755</v>
      </c>
      <c r="E82" s="239" t="s">
        <v>19</v>
      </c>
      <c r="F82" s="61">
        <v>1122217</v>
      </c>
      <c r="G82" s="240" t="s">
        <v>28</v>
      </c>
      <c r="H82" s="251"/>
      <c r="I82" s="251">
        <f>10000-9500</f>
        <v>500</v>
      </c>
      <c r="J82" s="252">
        <v>0</v>
      </c>
      <c r="K82" s="252"/>
      <c r="L82" s="252"/>
      <c r="M82" s="252"/>
      <c r="N82" s="252"/>
      <c r="O82" s="252"/>
      <c r="P82" s="395"/>
      <c r="Q82" s="132"/>
      <c r="R82" s="133"/>
      <c r="S82" s="133"/>
      <c r="T82" s="133"/>
      <c r="U82" s="133"/>
      <c r="V82" s="133"/>
    </row>
    <row r="83" spans="1:22" s="134" customFormat="1" ht="24.95" customHeight="1" x14ac:dyDescent="0.25">
      <c r="A83" s="398"/>
      <c r="B83" s="393"/>
      <c r="C83" s="393"/>
      <c r="D83" s="106">
        <v>755</v>
      </c>
      <c r="E83" s="239" t="s">
        <v>19</v>
      </c>
      <c r="F83" s="61">
        <v>1122234</v>
      </c>
      <c r="G83" s="240" t="s">
        <v>28</v>
      </c>
      <c r="H83" s="195"/>
      <c r="I83" s="195">
        <v>0</v>
      </c>
      <c r="J83" s="195">
        <f>15000-15000</f>
        <v>0</v>
      </c>
      <c r="K83" s="253"/>
      <c r="L83" s="253"/>
      <c r="M83" s="253"/>
      <c r="N83" s="253"/>
      <c r="O83" s="253"/>
      <c r="P83" s="395"/>
      <c r="Q83" s="132"/>
      <c r="R83" s="133"/>
      <c r="S83" s="133"/>
      <c r="T83" s="133"/>
      <c r="U83" s="133"/>
      <c r="V83" s="133"/>
    </row>
    <row r="84" spans="1:22" s="134" customFormat="1" ht="24.95" customHeight="1" thickBot="1" x14ac:dyDescent="0.3">
      <c r="A84" s="398"/>
      <c r="B84" s="393"/>
      <c r="C84" s="393"/>
      <c r="D84" s="241">
        <v>755</v>
      </c>
      <c r="E84" s="242" t="s">
        <v>19</v>
      </c>
      <c r="F84" s="176">
        <v>1120122170</v>
      </c>
      <c r="G84" s="243" t="s">
        <v>28</v>
      </c>
      <c r="H84" s="254"/>
      <c r="I84" s="254"/>
      <c r="J84" s="255"/>
      <c r="K84" s="179">
        <v>0</v>
      </c>
      <c r="L84" s="179">
        <v>0</v>
      </c>
      <c r="M84" s="179">
        <v>0</v>
      </c>
      <c r="N84" s="179">
        <v>0</v>
      </c>
      <c r="O84" s="179">
        <v>0</v>
      </c>
      <c r="P84" s="395"/>
      <c r="Q84" s="132"/>
      <c r="R84" s="133"/>
      <c r="S84" s="133"/>
      <c r="T84" s="133"/>
      <c r="U84" s="133"/>
      <c r="V84" s="133"/>
    </row>
    <row r="85" spans="1:22" s="134" customFormat="1" ht="84" customHeight="1" thickBot="1" x14ac:dyDescent="0.3">
      <c r="A85" s="399"/>
      <c r="B85" s="394"/>
      <c r="C85" s="141" t="s">
        <v>66</v>
      </c>
      <c r="D85" s="256">
        <v>779</v>
      </c>
      <c r="E85" s="257" t="s">
        <v>18</v>
      </c>
      <c r="F85" s="160">
        <v>1122217</v>
      </c>
      <c r="G85" s="161" t="s">
        <v>28</v>
      </c>
      <c r="H85" s="205"/>
      <c r="I85" s="205">
        <f>5000-4050.3</f>
        <v>949.69999999999982</v>
      </c>
      <c r="J85" s="205">
        <v>0</v>
      </c>
      <c r="K85" s="205"/>
      <c r="L85" s="205"/>
      <c r="M85" s="205"/>
      <c r="N85" s="205"/>
      <c r="O85" s="205"/>
      <c r="P85" s="205">
        <f>SUM(H85:N85)</f>
        <v>949.69999999999982</v>
      </c>
      <c r="Q85" s="132"/>
      <c r="R85" s="133"/>
      <c r="S85" s="133"/>
      <c r="T85" s="133"/>
      <c r="U85" s="133"/>
      <c r="V85" s="133"/>
    </row>
    <row r="86" spans="1:22" s="10" customFormat="1" ht="33" customHeight="1" x14ac:dyDescent="0.25">
      <c r="A86" s="397" t="s">
        <v>202</v>
      </c>
      <c r="B86" s="400" t="s">
        <v>60</v>
      </c>
      <c r="C86" s="400" t="s">
        <v>22</v>
      </c>
      <c r="D86" s="244">
        <v>755</v>
      </c>
      <c r="E86" s="245" t="s">
        <v>19</v>
      </c>
      <c r="F86" s="163">
        <v>5221020</v>
      </c>
      <c r="G86" s="164" t="s">
        <v>40</v>
      </c>
      <c r="H86" s="250">
        <v>28300</v>
      </c>
      <c r="I86" s="249"/>
      <c r="J86" s="249"/>
      <c r="K86" s="249"/>
      <c r="L86" s="249"/>
      <c r="M86" s="249"/>
      <c r="N86" s="249"/>
      <c r="O86" s="249"/>
      <c r="P86" s="407">
        <f>SUM(H86:O88)</f>
        <v>32398.385600000001</v>
      </c>
      <c r="Q86" s="9"/>
      <c r="R86" s="3"/>
      <c r="S86" s="3"/>
      <c r="T86" s="3"/>
      <c r="U86" s="3"/>
      <c r="V86" s="3"/>
    </row>
    <row r="87" spans="1:22" s="10" customFormat="1" ht="33" customHeight="1" x14ac:dyDescent="0.25">
      <c r="A87" s="398"/>
      <c r="B87" s="393"/>
      <c r="C87" s="393"/>
      <c r="D87" s="106">
        <v>755</v>
      </c>
      <c r="E87" s="239" t="s">
        <v>19</v>
      </c>
      <c r="F87" s="61">
        <v>1122146</v>
      </c>
      <c r="G87" s="240" t="s">
        <v>28</v>
      </c>
      <c r="H87" s="252"/>
      <c r="I87" s="252">
        <v>3470</v>
      </c>
      <c r="J87" s="252">
        <f>171.45+456.9356</f>
        <v>628.38560000000007</v>
      </c>
      <c r="K87" s="252"/>
      <c r="L87" s="252"/>
      <c r="M87" s="252"/>
      <c r="N87" s="252"/>
      <c r="O87" s="252"/>
      <c r="P87" s="395"/>
      <c r="Q87" s="9"/>
      <c r="R87" s="3"/>
      <c r="S87" s="3"/>
      <c r="T87" s="3"/>
      <c r="U87" s="3"/>
      <c r="V87" s="3"/>
    </row>
    <row r="88" spans="1:22" s="10" customFormat="1" ht="33" customHeight="1" thickBot="1" x14ac:dyDescent="0.3">
      <c r="A88" s="399"/>
      <c r="B88" s="394"/>
      <c r="C88" s="394"/>
      <c r="D88" s="246">
        <v>755</v>
      </c>
      <c r="E88" s="247" t="s">
        <v>19</v>
      </c>
      <c r="F88" s="169">
        <v>1120121460</v>
      </c>
      <c r="G88" s="170" t="s">
        <v>28</v>
      </c>
      <c r="H88" s="258"/>
      <c r="I88" s="258"/>
      <c r="J88" s="258"/>
      <c r="K88" s="258">
        <v>0</v>
      </c>
      <c r="L88" s="258">
        <v>0</v>
      </c>
      <c r="M88" s="258">
        <v>0</v>
      </c>
      <c r="N88" s="258">
        <v>0</v>
      </c>
      <c r="O88" s="258">
        <v>0</v>
      </c>
      <c r="P88" s="396"/>
      <c r="Q88" s="9"/>
      <c r="R88" s="3"/>
      <c r="S88" s="3"/>
      <c r="T88" s="3"/>
      <c r="U88" s="3"/>
      <c r="V88" s="3"/>
    </row>
    <row r="89" spans="1:22" s="10" customFormat="1" ht="27" customHeight="1" x14ac:dyDescent="0.25">
      <c r="A89" s="397" t="s">
        <v>203</v>
      </c>
      <c r="B89" s="400" t="s">
        <v>384</v>
      </c>
      <c r="C89" s="400" t="s">
        <v>22</v>
      </c>
      <c r="D89" s="244">
        <v>755</v>
      </c>
      <c r="E89" s="245" t="s">
        <v>19</v>
      </c>
      <c r="F89" s="163">
        <v>5221020</v>
      </c>
      <c r="G89" s="162" t="s">
        <v>40</v>
      </c>
      <c r="H89" s="250">
        <v>1300</v>
      </c>
      <c r="I89" s="249"/>
      <c r="J89" s="249"/>
      <c r="K89" s="249"/>
      <c r="L89" s="249"/>
      <c r="M89" s="249"/>
      <c r="N89" s="249"/>
      <c r="O89" s="249"/>
      <c r="P89" s="407">
        <f>SUM(H89:O91)</f>
        <v>5425.05</v>
      </c>
      <c r="Q89" s="9"/>
      <c r="R89" s="3"/>
      <c r="S89" s="3"/>
      <c r="T89" s="3"/>
      <c r="U89" s="3"/>
      <c r="V89" s="3"/>
    </row>
    <row r="90" spans="1:22" s="10" customFormat="1" ht="39" customHeight="1" x14ac:dyDescent="0.25">
      <c r="A90" s="398"/>
      <c r="B90" s="393"/>
      <c r="C90" s="393"/>
      <c r="D90" s="106">
        <v>755</v>
      </c>
      <c r="E90" s="239" t="s">
        <v>19</v>
      </c>
      <c r="F90" s="61">
        <v>1122146</v>
      </c>
      <c r="G90" s="99" t="s">
        <v>28</v>
      </c>
      <c r="H90" s="252"/>
      <c r="I90" s="252">
        <f>1000+2000</f>
        <v>3000</v>
      </c>
      <c r="J90" s="252">
        <f>200+925.05</f>
        <v>1125.05</v>
      </c>
      <c r="K90" s="252"/>
      <c r="L90" s="252"/>
      <c r="M90" s="252"/>
      <c r="N90" s="252"/>
      <c r="O90" s="252"/>
      <c r="P90" s="395"/>
      <c r="Q90" s="9"/>
      <c r="R90" s="3"/>
      <c r="S90" s="3"/>
      <c r="T90" s="3"/>
      <c r="U90" s="3"/>
      <c r="V90" s="3"/>
    </row>
    <row r="91" spans="1:22" s="10" customFormat="1" ht="27" customHeight="1" thickBot="1" x14ac:dyDescent="0.3">
      <c r="A91" s="398"/>
      <c r="B91" s="394"/>
      <c r="C91" s="394"/>
      <c r="D91" s="246">
        <v>755</v>
      </c>
      <c r="E91" s="247" t="s">
        <v>19</v>
      </c>
      <c r="F91" s="169">
        <v>1120121460</v>
      </c>
      <c r="G91" s="182" t="s">
        <v>28</v>
      </c>
      <c r="H91" s="258"/>
      <c r="I91" s="258"/>
      <c r="J91" s="258"/>
      <c r="K91" s="258">
        <v>0</v>
      </c>
      <c r="L91" s="258">
        <v>0</v>
      </c>
      <c r="M91" s="258">
        <v>0</v>
      </c>
      <c r="N91" s="258">
        <v>0</v>
      </c>
      <c r="O91" s="258">
        <v>0</v>
      </c>
      <c r="P91" s="396"/>
      <c r="Q91" s="9"/>
      <c r="R91" s="3"/>
      <c r="S91" s="3"/>
      <c r="T91" s="3"/>
      <c r="U91" s="3"/>
      <c r="V91" s="3"/>
    </row>
    <row r="92" spans="1:22" s="13" customFormat="1" ht="21" customHeight="1" thickBot="1" x14ac:dyDescent="0.25">
      <c r="A92" s="397" t="s">
        <v>1</v>
      </c>
      <c r="B92" s="412" t="s">
        <v>295</v>
      </c>
      <c r="C92" s="259" t="s">
        <v>27</v>
      </c>
      <c r="D92" s="139" t="s">
        <v>294</v>
      </c>
      <c r="E92" s="139" t="s">
        <v>294</v>
      </c>
      <c r="F92" s="139" t="s">
        <v>294</v>
      </c>
      <c r="G92" s="228" t="s">
        <v>294</v>
      </c>
      <c r="H92" s="184">
        <f>SUM(H93:H95)</f>
        <v>3000</v>
      </c>
      <c r="I92" s="184">
        <f t="shared" ref="I92:J92" si="29">SUM(I93:I95)</f>
        <v>3700</v>
      </c>
      <c r="J92" s="184">
        <f t="shared" si="29"/>
        <v>1655.48</v>
      </c>
      <c r="K92" s="184">
        <f>K98+K99</f>
        <v>0</v>
      </c>
      <c r="L92" s="184">
        <f>L98+L99</f>
        <v>0</v>
      </c>
      <c r="M92" s="184">
        <f>M98+M99</f>
        <v>0</v>
      </c>
      <c r="N92" s="184">
        <f>N98+N99</f>
        <v>0</v>
      </c>
      <c r="O92" s="184">
        <f>O98+O99</f>
        <v>0</v>
      </c>
      <c r="P92" s="184">
        <f>SUM(H92:O92)</f>
        <v>8355.48</v>
      </c>
      <c r="Q92" s="9"/>
      <c r="R92" s="3"/>
      <c r="S92" s="3"/>
      <c r="T92" s="3"/>
      <c r="U92" s="3"/>
      <c r="V92" s="3"/>
    </row>
    <row r="93" spans="1:22" s="13" customFormat="1" ht="35.1" customHeight="1" x14ac:dyDescent="0.2">
      <c r="A93" s="398"/>
      <c r="B93" s="413"/>
      <c r="C93" s="465" t="s">
        <v>22</v>
      </c>
      <c r="D93" s="260">
        <v>755</v>
      </c>
      <c r="E93" s="230" t="s">
        <v>19</v>
      </c>
      <c r="F93" s="260" t="s">
        <v>294</v>
      </c>
      <c r="G93" s="261" t="s">
        <v>294</v>
      </c>
      <c r="H93" s="262">
        <f>SUM(H96:H98)</f>
        <v>3000</v>
      </c>
      <c r="I93" s="262">
        <f>SUM(I96:I98)</f>
        <v>2400</v>
      </c>
      <c r="J93" s="262">
        <f>SUM(J96:J98)</f>
        <v>1655.48</v>
      </c>
      <c r="K93" s="186"/>
      <c r="L93" s="186"/>
      <c r="M93" s="186"/>
      <c r="N93" s="186"/>
      <c r="O93" s="186"/>
      <c r="P93" s="410">
        <f>SUM(H93:O94)</f>
        <v>7055.48</v>
      </c>
      <c r="Q93" s="9"/>
      <c r="R93" s="3"/>
      <c r="S93" s="3"/>
      <c r="T93" s="3"/>
      <c r="U93" s="3"/>
      <c r="V93" s="3"/>
    </row>
    <row r="94" spans="1:22" s="13" customFormat="1" ht="39.75" customHeight="1" thickBot="1" x14ac:dyDescent="0.3">
      <c r="A94" s="398"/>
      <c r="B94" s="413"/>
      <c r="C94" s="466"/>
      <c r="D94" s="263">
        <v>755</v>
      </c>
      <c r="E94" s="231" t="s">
        <v>19</v>
      </c>
      <c r="F94" s="188">
        <v>1120200000</v>
      </c>
      <c r="G94" s="187" t="s">
        <v>294</v>
      </c>
      <c r="H94" s="154"/>
      <c r="I94" s="154"/>
      <c r="J94" s="154"/>
      <c r="K94" s="264">
        <f>K98</f>
        <v>0</v>
      </c>
      <c r="L94" s="264">
        <f t="shared" ref="L94:N94" si="30">L98</f>
        <v>0</v>
      </c>
      <c r="M94" s="264">
        <f t="shared" si="30"/>
        <v>0</v>
      </c>
      <c r="N94" s="264">
        <f t="shared" si="30"/>
        <v>0</v>
      </c>
      <c r="O94" s="264">
        <f>O98</f>
        <v>0</v>
      </c>
      <c r="P94" s="411"/>
      <c r="Q94" s="9"/>
      <c r="R94" s="3"/>
      <c r="S94" s="3"/>
      <c r="T94" s="3"/>
      <c r="U94" s="3"/>
      <c r="V94" s="3"/>
    </row>
    <row r="95" spans="1:22" s="13" customFormat="1" ht="64.5" customHeight="1" thickBot="1" x14ac:dyDescent="0.3">
      <c r="A95" s="399"/>
      <c r="B95" s="414"/>
      <c r="C95" s="226" t="s">
        <v>63</v>
      </c>
      <c r="D95" s="156">
        <v>760</v>
      </c>
      <c r="E95" s="227" t="s">
        <v>64</v>
      </c>
      <c r="F95" s="202">
        <v>1122144</v>
      </c>
      <c r="G95" s="228" t="s">
        <v>65</v>
      </c>
      <c r="H95" s="265"/>
      <c r="I95" s="185">
        <f>I99</f>
        <v>1300</v>
      </c>
      <c r="J95" s="185"/>
      <c r="K95" s="265"/>
      <c r="L95" s="265"/>
      <c r="M95" s="265"/>
      <c r="N95" s="265"/>
      <c r="O95" s="265"/>
      <c r="P95" s="184">
        <f>SUM(H95:O95)</f>
        <v>1300</v>
      </c>
      <c r="Q95" s="9"/>
      <c r="R95" s="3"/>
      <c r="S95" s="3"/>
      <c r="T95" s="3"/>
      <c r="U95" s="3"/>
      <c r="V95" s="3"/>
    </row>
    <row r="96" spans="1:22" s="10" customFormat="1" ht="38.25" customHeight="1" x14ac:dyDescent="0.25">
      <c r="A96" s="398" t="s">
        <v>204</v>
      </c>
      <c r="B96" s="400" t="s">
        <v>61</v>
      </c>
      <c r="C96" s="393" t="s">
        <v>22</v>
      </c>
      <c r="D96" s="237">
        <v>755</v>
      </c>
      <c r="E96" s="238" t="s">
        <v>19</v>
      </c>
      <c r="F96" s="237">
        <v>5221020</v>
      </c>
      <c r="G96" s="190" t="s">
        <v>40</v>
      </c>
      <c r="H96" s="266">
        <v>3000</v>
      </c>
      <c r="I96" s="267"/>
      <c r="J96" s="267"/>
      <c r="K96" s="267"/>
      <c r="L96" s="267"/>
      <c r="M96" s="267"/>
      <c r="N96" s="267"/>
      <c r="O96" s="267"/>
      <c r="P96" s="407">
        <f>SUM(H96:L97)</f>
        <v>7055.48</v>
      </c>
      <c r="Q96" s="9"/>
      <c r="R96" s="3"/>
      <c r="S96" s="3"/>
      <c r="T96" s="3"/>
      <c r="U96" s="3"/>
      <c r="V96" s="3"/>
    </row>
    <row r="97" spans="1:22" s="10" customFormat="1" ht="33" customHeight="1" x14ac:dyDescent="0.25">
      <c r="A97" s="398"/>
      <c r="B97" s="393"/>
      <c r="C97" s="393"/>
      <c r="D97" s="106">
        <v>755</v>
      </c>
      <c r="E97" s="239" t="s">
        <v>19</v>
      </c>
      <c r="F97" s="106">
        <v>1122144</v>
      </c>
      <c r="G97" s="268">
        <v>244</v>
      </c>
      <c r="H97" s="252"/>
      <c r="I97" s="252">
        <f>3300-900</f>
        <v>2400</v>
      </c>
      <c r="J97" s="252">
        <v>1655.48</v>
      </c>
      <c r="K97" s="252"/>
      <c r="L97" s="252"/>
      <c r="M97" s="252"/>
      <c r="N97" s="252"/>
      <c r="O97" s="252"/>
      <c r="P97" s="395"/>
      <c r="Q97" s="9"/>
      <c r="R97" s="3"/>
      <c r="S97" s="3"/>
      <c r="T97" s="3"/>
      <c r="U97" s="3"/>
      <c r="V97" s="3"/>
    </row>
    <row r="98" spans="1:22" s="10" customFormat="1" ht="39.75" customHeight="1" thickBot="1" x14ac:dyDescent="0.3">
      <c r="A98" s="399"/>
      <c r="B98" s="394"/>
      <c r="C98" s="394"/>
      <c r="D98" s="246">
        <v>755</v>
      </c>
      <c r="E98" s="247" t="s">
        <v>19</v>
      </c>
      <c r="F98" s="246">
        <v>1120221440</v>
      </c>
      <c r="G98" s="269">
        <v>244</v>
      </c>
      <c r="H98" s="258"/>
      <c r="I98" s="258"/>
      <c r="J98" s="258"/>
      <c r="K98" s="258">
        <v>0</v>
      </c>
      <c r="L98" s="258">
        <v>0</v>
      </c>
      <c r="M98" s="258">
        <v>0</v>
      </c>
      <c r="N98" s="258">
        <v>0</v>
      </c>
      <c r="O98" s="258">
        <v>0</v>
      </c>
      <c r="P98" s="396"/>
      <c r="Q98" s="9"/>
      <c r="R98" s="3"/>
      <c r="S98" s="3"/>
      <c r="T98" s="3"/>
      <c r="U98" s="3"/>
      <c r="V98" s="3"/>
    </row>
    <row r="99" spans="1:22" s="10" customFormat="1" ht="158.25" customHeight="1" thickBot="1" x14ac:dyDescent="0.3">
      <c r="A99" s="156" t="s">
        <v>205</v>
      </c>
      <c r="B99" s="141" t="s">
        <v>62</v>
      </c>
      <c r="C99" s="141" t="s">
        <v>63</v>
      </c>
      <c r="D99" s="256">
        <v>760</v>
      </c>
      <c r="E99" s="257" t="s">
        <v>64</v>
      </c>
      <c r="F99" s="160">
        <v>1122144</v>
      </c>
      <c r="G99" s="161" t="s">
        <v>65</v>
      </c>
      <c r="H99" s="143"/>
      <c r="I99" s="143">
        <f>1700-400</f>
        <v>1300</v>
      </c>
      <c r="J99" s="143"/>
      <c r="K99" s="143"/>
      <c r="L99" s="143"/>
      <c r="M99" s="143"/>
      <c r="N99" s="143"/>
      <c r="O99" s="143"/>
      <c r="P99" s="143">
        <f>SUM(H99:L99)</f>
        <v>1300</v>
      </c>
      <c r="Q99" s="9"/>
      <c r="R99" s="3"/>
      <c r="S99" s="3"/>
      <c r="T99" s="3"/>
      <c r="U99" s="3"/>
      <c r="V99" s="3"/>
    </row>
    <row r="100" spans="1:22" s="13" customFormat="1" ht="21" customHeight="1" thickBot="1" x14ac:dyDescent="0.25">
      <c r="A100" s="397" t="s">
        <v>25</v>
      </c>
      <c r="B100" s="412" t="s">
        <v>140</v>
      </c>
      <c r="C100" s="27" t="s">
        <v>27</v>
      </c>
      <c r="D100" s="220" t="s">
        <v>294</v>
      </c>
      <c r="E100" s="139" t="s">
        <v>294</v>
      </c>
      <c r="F100" s="139" t="s">
        <v>294</v>
      </c>
      <c r="G100" s="139" t="s">
        <v>294</v>
      </c>
      <c r="H100" s="221">
        <f>H107+H125+H126+H127+H136</f>
        <v>64910</v>
      </c>
      <c r="I100" s="221">
        <f>I107+I125+I126+I127+I136</f>
        <v>35544</v>
      </c>
      <c r="J100" s="221">
        <f>J107+J125+J126+J127+J136</f>
        <v>31845.5</v>
      </c>
      <c r="K100" s="221">
        <f>K106+K124+K135</f>
        <v>8429.73</v>
      </c>
      <c r="L100" s="221">
        <f>L106+L124+L135</f>
        <v>6955</v>
      </c>
      <c r="M100" s="221">
        <f>M106+M124+M135</f>
        <v>6955</v>
      </c>
      <c r="N100" s="221">
        <f>N106+N124+N135</f>
        <v>6955</v>
      </c>
      <c r="O100" s="221">
        <f>O106+O124+O135</f>
        <v>6955</v>
      </c>
      <c r="P100" s="221">
        <f t="shared" ref="P100:P106" si="31">SUM(H100:O100)</f>
        <v>168549.23</v>
      </c>
      <c r="Q100" s="9"/>
      <c r="R100" s="3"/>
      <c r="S100" s="3"/>
      <c r="T100" s="3"/>
      <c r="U100" s="3"/>
      <c r="V100" s="3"/>
    </row>
    <row r="101" spans="1:22" s="13" customFormat="1" ht="74.25" customHeight="1" thickBot="1" x14ac:dyDescent="0.25">
      <c r="A101" s="398"/>
      <c r="B101" s="413"/>
      <c r="C101" s="270" t="s">
        <v>22</v>
      </c>
      <c r="D101" s="220" t="s">
        <v>35</v>
      </c>
      <c r="E101" s="271" t="s">
        <v>294</v>
      </c>
      <c r="F101" s="272" t="s">
        <v>294</v>
      </c>
      <c r="G101" s="271" t="s">
        <v>294</v>
      </c>
      <c r="H101" s="273">
        <f>H125</f>
        <v>580</v>
      </c>
      <c r="I101" s="273">
        <f t="shared" ref="I101:O101" si="32">I125</f>
        <v>0</v>
      </c>
      <c r="J101" s="273">
        <f t="shared" si="32"/>
        <v>0</v>
      </c>
      <c r="K101" s="273">
        <f t="shared" si="32"/>
        <v>0</v>
      </c>
      <c r="L101" s="273">
        <f t="shared" si="32"/>
        <v>0</v>
      </c>
      <c r="M101" s="273">
        <f t="shared" si="32"/>
        <v>0</v>
      </c>
      <c r="N101" s="273">
        <f t="shared" si="32"/>
        <v>0</v>
      </c>
      <c r="O101" s="273">
        <f t="shared" si="32"/>
        <v>0</v>
      </c>
      <c r="P101" s="273">
        <f t="shared" si="31"/>
        <v>580</v>
      </c>
      <c r="Q101" s="9"/>
      <c r="R101" s="3"/>
      <c r="S101" s="3"/>
      <c r="T101" s="3"/>
      <c r="U101" s="3"/>
      <c r="V101" s="3"/>
    </row>
    <row r="102" spans="1:22" s="13" customFormat="1" ht="30" customHeight="1" x14ac:dyDescent="0.2">
      <c r="A102" s="398"/>
      <c r="B102" s="413"/>
      <c r="C102" s="408" t="s">
        <v>21</v>
      </c>
      <c r="D102" s="151" t="s">
        <v>31</v>
      </c>
      <c r="E102" s="260" t="s">
        <v>294</v>
      </c>
      <c r="F102" s="260" t="s">
        <v>294</v>
      </c>
      <c r="G102" s="260" t="s">
        <v>294</v>
      </c>
      <c r="H102" s="186">
        <f>H107+H126</f>
        <v>52800</v>
      </c>
      <c r="I102" s="186">
        <f>I107+I126</f>
        <v>28856</v>
      </c>
      <c r="J102" s="186">
        <f>J107+J126</f>
        <v>23056</v>
      </c>
      <c r="K102" s="186"/>
      <c r="L102" s="186"/>
      <c r="M102" s="186"/>
      <c r="N102" s="186"/>
      <c r="O102" s="186"/>
      <c r="P102" s="410">
        <f>SUM(H102:O103)</f>
        <v>104815.73</v>
      </c>
      <c r="Q102" s="9"/>
      <c r="R102" s="3"/>
      <c r="S102" s="3"/>
      <c r="T102" s="3"/>
      <c r="U102" s="3"/>
      <c r="V102" s="3"/>
    </row>
    <row r="103" spans="1:22" s="13" customFormat="1" ht="35.25" customHeight="1" thickBot="1" x14ac:dyDescent="0.3">
      <c r="A103" s="398"/>
      <c r="B103" s="413"/>
      <c r="C103" s="409"/>
      <c r="D103" s="187" t="s">
        <v>31</v>
      </c>
      <c r="E103" s="231" t="s">
        <v>294</v>
      </c>
      <c r="F103" s="188">
        <v>1130000000</v>
      </c>
      <c r="G103" s="231" t="s">
        <v>294</v>
      </c>
      <c r="H103" s="154"/>
      <c r="I103" s="154"/>
      <c r="J103" s="154"/>
      <c r="K103" s="189">
        <f>K106+K126</f>
        <v>103.73</v>
      </c>
      <c r="L103" s="189">
        <f>L106+L126</f>
        <v>0</v>
      </c>
      <c r="M103" s="189">
        <f>M106+M126</f>
        <v>0</v>
      </c>
      <c r="N103" s="189">
        <f>N106+N126</f>
        <v>0</v>
      </c>
      <c r="O103" s="189">
        <f>O106+O126</f>
        <v>0</v>
      </c>
      <c r="P103" s="411"/>
      <c r="Q103" s="9"/>
      <c r="R103" s="3"/>
      <c r="S103" s="3"/>
      <c r="T103" s="3"/>
      <c r="U103" s="3"/>
      <c r="V103" s="3"/>
    </row>
    <row r="104" spans="1:22" s="13" customFormat="1" ht="69" customHeight="1" x14ac:dyDescent="0.2">
      <c r="A104" s="398"/>
      <c r="B104" s="413"/>
      <c r="C104" s="274" t="s">
        <v>63</v>
      </c>
      <c r="D104" s="210" t="s">
        <v>36</v>
      </c>
      <c r="E104" s="275" t="s">
        <v>294</v>
      </c>
      <c r="F104" s="276" t="s">
        <v>294</v>
      </c>
      <c r="G104" s="275" t="s">
        <v>294</v>
      </c>
      <c r="H104" s="212">
        <f>H127</f>
        <v>9950</v>
      </c>
      <c r="I104" s="212">
        <f>I127</f>
        <v>6688</v>
      </c>
      <c r="J104" s="212">
        <f>J127</f>
        <v>8789.5</v>
      </c>
      <c r="K104" s="212">
        <f t="shared" ref="K104:O104" si="33">K128</f>
        <v>8326</v>
      </c>
      <c r="L104" s="212">
        <f t="shared" si="33"/>
        <v>6955</v>
      </c>
      <c r="M104" s="212">
        <f t="shared" si="33"/>
        <v>6955</v>
      </c>
      <c r="N104" s="212">
        <f t="shared" si="33"/>
        <v>6955</v>
      </c>
      <c r="O104" s="212">
        <f t="shared" si="33"/>
        <v>6955</v>
      </c>
      <c r="P104" s="212">
        <f t="shared" si="31"/>
        <v>61573.5</v>
      </c>
      <c r="Q104" s="9"/>
      <c r="R104" s="3"/>
      <c r="S104" s="3"/>
      <c r="T104" s="3"/>
      <c r="U104" s="3"/>
      <c r="V104" s="3"/>
    </row>
    <row r="105" spans="1:22" s="13" customFormat="1" ht="72.75" customHeight="1" thickBot="1" x14ac:dyDescent="0.25">
      <c r="A105" s="399"/>
      <c r="B105" s="414"/>
      <c r="C105" s="223" t="s">
        <v>181</v>
      </c>
      <c r="D105" s="277" t="s">
        <v>38</v>
      </c>
      <c r="E105" s="224" t="s">
        <v>294</v>
      </c>
      <c r="F105" s="229" t="s">
        <v>294</v>
      </c>
      <c r="G105" s="278" t="s">
        <v>294</v>
      </c>
      <c r="H105" s="219">
        <f>H136</f>
        <v>1580</v>
      </c>
      <c r="I105" s="219">
        <f>I136</f>
        <v>0</v>
      </c>
      <c r="J105" s="219">
        <f>J136</f>
        <v>0</v>
      </c>
      <c r="K105" s="219">
        <f t="shared" ref="K105:O105" si="34">K137</f>
        <v>0</v>
      </c>
      <c r="L105" s="219">
        <f t="shared" si="34"/>
        <v>0</v>
      </c>
      <c r="M105" s="219">
        <f t="shared" si="34"/>
        <v>0</v>
      </c>
      <c r="N105" s="219">
        <f t="shared" si="34"/>
        <v>0</v>
      </c>
      <c r="O105" s="219">
        <f t="shared" si="34"/>
        <v>0</v>
      </c>
      <c r="P105" s="219">
        <f t="shared" si="31"/>
        <v>1580</v>
      </c>
      <c r="Q105" s="9"/>
      <c r="R105" s="3"/>
      <c r="S105" s="3"/>
      <c r="T105" s="3"/>
      <c r="U105" s="3"/>
      <c r="V105" s="3"/>
    </row>
    <row r="106" spans="1:22" s="13" customFormat="1" ht="18.75" customHeight="1" thickBot="1" x14ac:dyDescent="0.25">
      <c r="A106" s="397" t="s">
        <v>104</v>
      </c>
      <c r="B106" s="412" t="s">
        <v>298</v>
      </c>
      <c r="C106" s="202" t="s">
        <v>27</v>
      </c>
      <c r="D106" s="227" t="s">
        <v>294</v>
      </c>
      <c r="E106" s="227" t="s">
        <v>294</v>
      </c>
      <c r="F106" s="227" t="s">
        <v>294</v>
      </c>
      <c r="G106" s="279" t="s">
        <v>294</v>
      </c>
      <c r="H106" s="184">
        <f>SUM(H107:H108)</f>
        <v>30800</v>
      </c>
      <c r="I106" s="184">
        <f t="shared" ref="I106:O106" si="35">SUM(I107:I108)</f>
        <v>28856</v>
      </c>
      <c r="J106" s="184">
        <f t="shared" si="35"/>
        <v>23056</v>
      </c>
      <c r="K106" s="184">
        <f t="shared" si="35"/>
        <v>103.73</v>
      </c>
      <c r="L106" s="184">
        <f t="shared" si="35"/>
        <v>0</v>
      </c>
      <c r="M106" s="184">
        <f t="shared" si="35"/>
        <v>0</v>
      </c>
      <c r="N106" s="184">
        <f t="shared" si="35"/>
        <v>0</v>
      </c>
      <c r="O106" s="184">
        <f t="shared" si="35"/>
        <v>0</v>
      </c>
      <c r="P106" s="184">
        <f t="shared" si="31"/>
        <v>82815.73</v>
      </c>
      <c r="Q106" s="9"/>
      <c r="R106" s="3"/>
      <c r="S106" s="3"/>
      <c r="T106" s="3"/>
      <c r="U106" s="3"/>
      <c r="V106" s="3"/>
    </row>
    <row r="107" spans="1:22" s="13" customFormat="1" ht="30.95" customHeight="1" x14ac:dyDescent="0.2">
      <c r="A107" s="398"/>
      <c r="B107" s="413"/>
      <c r="C107" s="412" t="s">
        <v>21</v>
      </c>
      <c r="D107" s="151" t="s">
        <v>31</v>
      </c>
      <c r="E107" s="261" t="s">
        <v>294</v>
      </c>
      <c r="F107" s="260" t="s">
        <v>294</v>
      </c>
      <c r="G107" s="261" t="s">
        <v>294</v>
      </c>
      <c r="H107" s="186">
        <f>SUM(H109:H123)</f>
        <v>30800</v>
      </c>
      <c r="I107" s="186">
        <f>SUM(I109:I123)</f>
        <v>28856</v>
      </c>
      <c r="J107" s="186">
        <f>SUM(J109:J123)</f>
        <v>23056</v>
      </c>
      <c r="K107" s="186"/>
      <c r="L107" s="186"/>
      <c r="M107" s="186"/>
      <c r="N107" s="186"/>
      <c r="O107" s="186"/>
      <c r="P107" s="410">
        <f>SUM(H107:O108)</f>
        <v>82815.73</v>
      </c>
      <c r="Q107" s="9"/>
      <c r="R107" s="3"/>
      <c r="S107" s="3"/>
      <c r="T107" s="3"/>
      <c r="U107" s="3"/>
      <c r="V107" s="3"/>
    </row>
    <row r="108" spans="1:22" s="13" customFormat="1" ht="43.5" customHeight="1" thickBot="1" x14ac:dyDescent="0.3">
      <c r="A108" s="399"/>
      <c r="B108" s="414"/>
      <c r="C108" s="414"/>
      <c r="D108" s="187" t="s">
        <v>31</v>
      </c>
      <c r="E108" s="231" t="s">
        <v>294</v>
      </c>
      <c r="F108" s="263">
        <v>1130100000</v>
      </c>
      <c r="G108" s="231" t="s">
        <v>294</v>
      </c>
      <c r="H108" s="154"/>
      <c r="I108" s="154"/>
      <c r="J108" s="154"/>
      <c r="K108" s="189">
        <f>SUM(K109:K123)</f>
        <v>103.73</v>
      </c>
      <c r="L108" s="189">
        <f>SUM(L109:L123)</f>
        <v>0</v>
      </c>
      <c r="M108" s="189">
        <f>SUM(M109:M123)</f>
        <v>0</v>
      </c>
      <c r="N108" s="189">
        <f>SUM(N109:N123)</f>
        <v>0</v>
      </c>
      <c r="O108" s="189">
        <f>SUM(O109:O123)</f>
        <v>0</v>
      </c>
      <c r="P108" s="411"/>
      <c r="Q108" s="9"/>
      <c r="R108" s="3"/>
      <c r="S108" s="3"/>
      <c r="T108" s="3"/>
      <c r="U108" s="3"/>
      <c r="V108" s="3"/>
    </row>
    <row r="109" spans="1:22" s="10" customFormat="1" ht="23.1" customHeight="1" x14ac:dyDescent="0.25">
      <c r="A109" s="401" t="s">
        <v>206</v>
      </c>
      <c r="B109" s="404" t="s">
        <v>115</v>
      </c>
      <c r="C109" s="404" t="s">
        <v>21</v>
      </c>
      <c r="D109" s="163" t="s">
        <v>31</v>
      </c>
      <c r="E109" s="162" t="s">
        <v>32</v>
      </c>
      <c r="F109" s="280">
        <v>5221020</v>
      </c>
      <c r="G109" s="164" t="s">
        <v>17</v>
      </c>
      <c r="H109" s="165">
        <v>4800</v>
      </c>
      <c r="I109" s="281"/>
      <c r="J109" s="281"/>
      <c r="K109" s="281"/>
      <c r="L109" s="281"/>
      <c r="M109" s="281"/>
      <c r="N109" s="281"/>
      <c r="O109" s="281"/>
      <c r="P109" s="390">
        <f>SUM(H109:O116)</f>
        <v>14215.73</v>
      </c>
      <c r="Q109" s="9"/>
      <c r="R109" s="3"/>
      <c r="S109" s="3"/>
      <c r="T109" s="3"/>
      <c r="U109" s="3"/>
      <c r="V109" s="3"/>
    </row>
    <row r="110" spans="1:22" s="10" customFormat="1" ht="23.1" customHeight="1" x14ac:dyDescent="0.25">
      <c r="A110" s="402"/>
      <c r="B110" s="405"/>
      <c r="C110" s="405"/>
      <c r="D110" s="61" t="s">
        <v>31</v>
      </c>
      <c r="E110" s="99" t="s">
        <v>32</v>
      </c>
      <c r="F110" s="108">
        <v>1132147</v>
      </c>
      <c r="G110" s="108">
        <v>244</v>
      </c>
      <c r="H110" s="252"/>
      <c r="I110" s="252">
        <v>4583.2</v>
      </c>
      <c r="J110" s="200"/>
      <c r="K110" s="251"/>
      <c r="L110" s="251"/>
      <c r="M110" s="251"/>
      <c r="N110" s="251"/>
      <c r="O110" s="251"/>
      <c r="P110" s="391"/>
      <c r="Q110" s="9"/>
      <c r="R110" s="3"/>
      <c r="S110" s="3"/>
      <c r="T110" s="3"/>
      <c r="U110" s="3"/>
      <c r="V110" s="3"/>
    </row>
    <row r="111" spans="1:22" s="10" customFormat="1" ht="23.1" customHeight="1" x14ac:dyDescent="0.25">
      <c r="A111" s="402"/>
      <c r="B111" s="405"/>
      <c r="C111" s="405"/>
      <c r="D111" s="176">
        <v>759</v>
      </c>
      <c r="E111" s="177" t="s">
        <v>32</v>
      </c>
      <c r="F111" s="282">
        <v>1132147</v>
      </c>
      <c r="G111" s="282">
        <v>612</v>
      </c>
      <c r="H111" s="251"/>
      <c r="I111" s="252">
        <v>72.8</v>
      </c>
      <c r="J111" s="200"/>
      <c r="K111" s="252"/>
      <c r="L111" s="252"/>
      <c r="M111" s="252"/>
      <c r="N111" s="252"/>
      <c r="O111" s="252"/>
      <c r="P111" s="391"/>
      <c r="Q111" s="9"/>
      <c r="R111" s="3"/>
      <c r="S111" s="3"/>
      <c r="T111" s="3"/>
      <c r="U111" s="3"/>
      <c r="V111" s="3"/>
    </row>
    <row r="112" spans="1:22" s="10" customFormat="1" ht="23.1" customHeight="1" x14ac:dyDescent="0.25">
      <c r="A112" s="402"/>
      <c r="B112" s="405"/>
      <c r="C112" s="405"/>
      <c r="D112" s="61" t="s">
        <v>31</v>
      </c>
      <c r="E112" s="99" t="s">
        <v>32</v>
      </c>
      <c r="F112" s="108">
        <v>1137028</v>
      </c>
      <c r="G112" s="108">
        <v>244</v>
      </c>
      <c r="H112" s="266"/>
      <c r="I112" s="266"/>
      <c r="J112" s="283">
        <f>2328</f>
        <v>2328</v>
      </c>
      <c r="K112" s="284"/>
      <c r="L112" s="284"/>
      <c r="M112" s="284"/>
      <c r="N112" s="284"/>
      <c r="O112" s="251"/>
      <c r="P112" s="391"/>
      <c r="Q112" s="9"/>
      <c r="R112" s="3"/>
      <c r="S112" s="3"/>
      <c r="T112" s="3"/>
      <c r="U112" s="3"/>
      <c r="V112" s="3"/>
    </row>
    <row r="113" spans="1:22" s="10" customFormat="1" ht="23.1" customHeight="1" x14ac:dyDescent="0.25">
      <c r="A113" s="402"/>
      <c r="B113" s="405"/>
      <c r="C113" s="405"/>
      <c r="D113" s="176">
        <v>759</v>
      </c>
      <c r="E113" s="177" t="s">
        <v>32</v>
      </c>
      <c r="F113" s="282">
        <v>1137028</v>
      </c>
      <c r="G113" s="282">
        <v>612</v>
      </c>
      <c r="H113" s="251"/>
      <c r="I113" s="252"/>
      <c r="J113" s="255">
        <f>2328</f>
        <v>2328</v>
      </c>
      <c r="K113" s="252"/>
      <c r="L113" s="252"/>
      <c r="M113" s="252"/>
      <c r="N113" s="252"/>
      <c r="O113" s="252"/>
      <c r="P113" s="391"/>
      <c r="Q113" s="9"/>
      <c r="R113" s="3"/>
      <c r="S113" s="3"/>
      <c r="T113" s="3"/>
      <c r="U113" s="3"/>
      <c r="V113" s="3"/>
    </row>
    <row r="114" spans="1:22" s="10" customFormat="1" ht="23.1" customHeight="1" x14ac:dyDescent="0.25">
      <c r="A114" s="402"/>
      <c r="B114" s="405"/>
      <c r="C114" s="405"/>
      <c r="D114" s="61" t="s">
        <v>31</v>
      </c>
      <c r="E114" s="99" t="s">
        <v>32</v>
      </c>
      <c r="F114" s="108">
        <v>1130121470</v>
      </c>
      <c r="G114" s="108">
        <v>244</v>
      </c>
      <c r="H114" s="193"/>
      <c r="I114" s="200"/>
      <c r="J114" s="200"/>
      <c r="K114" s="195">
        <f>2328-2328</f>
        <v>0</v>
      </c>
      <c r="L114" s="195">
        <f>2100-2100</f>
        <v>0</v>
      </c>
      <c r="M114" s="195">
        <f>2328-2328</f>
        <v>0</v>
      </c>
      <c r="N114" s="195">
        <f>2100-2100</f>
        <v>0</v>
      </c>
      <c r="O114" s="195">
        <f>2328-2328</f>
        <v>0</v>
      </c>
      <c r="P114" s="391"/>
      <c r="Q114" s="9"/>
      <c r="R114" s="3"/>
      <c r="S114" s="3"/>
      <c r="T114" s="3"/>
      <c r="U114" s="3"/>
      <c r="V114" s="3"/>
    </row>
    <row r="115" spans="1:22" s="10" customFormat="1" ht="23.1" customHeight="1" x14ac:dyDescent="0.25">
      <c r="A115" s="402"/>
      <c r="B115" s="405"/>
      <c r="C115" s="405"/>
      <c r="D115" s="176">
        <v>759</v>
      </c>
      <c r="E115" s="177" t="s">
        <v>32</v>
      </c>
      <c r="F115" s="282">
        <v>1130121470</v>
      </c>
      <c r="G115" s="282">
        <v>612</v>
      </c>
      <c r="H115" s="285"/>
      <c r="I115" s="286"/>
      <c r="J115" s="286"/>
      <c r="K115" s="179">
        <f>2328-2328</f>
        <v>0</v>
      </c>
      <c r="L115" s="179">
        <f>2100-2100</f>
        <v>0</v>
      </c>
      <c r="M115" s="179">
        <f>2328-2328</f>
        <v>0</v>
      </c>
      <c r="N115" s="179">
        <f>2100-2100</f>
        <v>0</v>
      </c>
      <c r="O115" s="179">
        <f>2328-2328</f>
        <v>0</v>
      </c>
      <c r="P115" s="391"/>
      <c r="Q115" s="9"/>
      <c r="R115" s="3"/>
      <c r="S115" s="3"/>
      <c r="T115" s="3"/>
      <c r="U115" s="3"/>
      <c r="V115" s="3"/>
    </row>
    <row r="116" spans="1:22" s="10" customFormat="1" ht="23.1" customHeight="1" x14ac:dyDescent="0.25">
      <c r="A116" s="403"/>
      <c r="B116" s="406"/>
      <c r="C116" s="406"/>
      <c r="D116" s="61">
        <v>759</v>
      </c>
      <c r="E116" s="99" t="s">
        <v>32</v>
      </c>
      <c r="F116" s="108">
        <v>1130170280</v>
      </c>
      <c r="G116" s="108">
        <v>244</v>
      </c>
      <c r="H116" s="193"/>
      <c r="I116" s="200"/>
      <c r="J116" s="200"/>
      <c r="K116" s="195">
        <v>103.73</v>
      </c>
      <c r="L116" s="195"/>
      <c r="M116" s="195"/>
      <c r="N116" s="195"/>
      <c r="O116" s="195"/>
      <c r="P116" s="392"/>
      <c r="Q116" s="9"/>
      <c r="R116" s="3"/>
      <c r="S116" s="3"/>
      <c r="T116" s="3"/>
      <c r="U116" s="3"/>
      <c r="V116" s="3"/>
    </row>
    <row r="117" spans="1:22" s="10" customFormat="1" ht="65.25" customHeight="1" x14ac:dyDescent="0.25">
      <c r="A117" s="402" t="s">
        <v>207</v>
      </c>
      <c r="B117" s="393" t="s">
        <v>336</v>
      </c>
      <c r="C117" s="393" t="s">
        <v>21</v>
      </c>
      <c r="D117" s="107">
        <v>759</v>
      </c>
      <c r="E117" s="287" t="s">
        <v>32</v>
      </c>
      <c r="F117" s="107">
        <v>5221010</v>
      </c>
      <c r="G117" s="190" t="s">
        <v>50</v>
      </c>
      <c r="H117" s="266">
        <v>24400</v>
      </c>
      <c r="I117" s="267"/>
      <c r="J117" s="267"/>
      <c r="K117" s="267"/>
      <c r="L117" s="267"/>
      <c r="M117" s="267"/>
      <c r="N117" s="267"/>
      <c r="O117" s="267"/>
      <c r="P117" s="395">
        <f>SUM(H117:O119)</f>
        <v>61200</v>
      </c>
      <c r="Q117" s="9"/>
      <c r="R117" s="3"/>
      <c r="S117" s="3"/>
      <c r="T117" s="3"/>
      <c r="U117" s="3"/>
      <c r="V117" s="3"/>
    </row>
    <row r="118" spans="1:22" s="10" customFormat="1" ht="54.95" customHeight="1" x14ac:dyDescent="0.25">
      <c r="A118" s="402"/>
      <c r="B118" s="393"/>
      <c r="C118" s="393"/>
      <c r="D118" s="288">
        <v>759</v>
      </c>
      <c r="E118" s="288" t="s">
        <v>32</v>
      </c>
      <c r="F118" s="282">
        <v>1139222</v>
      </c>
      <c r="G118" s="289">
        <v>520</v>
      </c>
      <c r="H118" s="252"/>
      <c r="I118" s="252">
        <v>18400</v>
      </c>
      <c r="J118" s="252">
        <f>18400</f>
        <v>18400</v>
      </c>
      <c r="K118" s="252"/>
      <c r="L118" s="252"/>
      <c r="M118" s="252"/>
      <c r="N118" s="252"/>
      <c r="O118" s="252"/>
      <c r="P118" s="395"/>
      <c r="Q118" s="9"/>
      <c r="R118" s="3"/>
      <c r="S118" s="3"/>
      <c r="T118" s="3"/>
      <c r="U118" s="3"/>
      <c r="V118" s="3"/>
    </row>
    <row r="119" spans="1:22" s="10" customFormat="1" ht="54" customHeight="1" thickBot="1" x14ac:dyDescent="0.3">
      <c r="A119" s="421"/>
      <c r="B119" s="394"/>
      <c r="C119" s="394"/>
      <c r="D119" s="290">
        <v>759</v>
      </c>
      <c r="E119" s="290" t="s">
        <v>32</v>
      </c>
      <c r="F119" s="291">
        <v>1130192220</v>
      </c>
      <c r="G119" s="292">
        <v>520</v>
      </c>
      <c r="H119" s="258"/>
      <c r="I119" s="258"/>
      <c r="J119" s="258"/>
      <c r="K119" s="258">
        <f>18400-18400</f>
        <v>0</v>
      </c>
      <c r="L119" s="258">
        <f>18400-18400</f>
        <v>0</v>
      </c>
      <c r="M119" s="258">
        <f>18400-18400</f>
        <v>0</v>
      </c>
      <c r="N119" s="258">
        <f>18400-18400</f>
        <v>0</v>
      </c>
      <c r="O119" s="258">
        <f>18400-18400</f>
        <v>0</v>
      </c>
      <c r="P119" s="396"/>
      <c r="Q119" s="9"/>
      <c r="R119" s="3"/>
      <c r="S119" s="3"/>
      <c r="T119" s="3"/>
      <c r="U119" s="3"/>
      <c r="V119" s="3"/>
    </row>
    <row r="120" spans="1:22" s="10" customFormat="1" ht="82.5" customHeight="1" thickBot="1" x14ac:dyDescent="0.3">
      <c r="A120" s="149" t="s">
        <v>208</v>
      </c>
      <c r="B120" s="293" t="s">
        <v>67</v>
      </c>
      <c r="C120" s="294" t="s">
        <v>21</v>
      </c>
      <c r="D120" s="295">
        <v>759</v>
      </c>
      <c r="E120" s="296" t="s">
        <v>32</v>
      </c>
      <c r="F120" s="295">
        <v>5221020</v>
      </c>
      <c r="G120" s="296" t="s">
        <v>17</v>
      </c>
      <c r="H120" s="297">
        <v>800</v>
      </c>
      <c r="I120" s="298"/>
      <c r="J120" s="298"/>
      <c r="K120" s="298"/>
      <c r="L120" s="298"/>
      <c r="M120" s="298"/>
      <c r="N120" s="298"/>
      <c r="O120" s="298"/>
      <c r="P120" s="297">
        <f>SUM(H120:O120)</f>
        <v>800</v>
      </c>
      <c r="Q120" s="9"/>
      <c r="R120" s="3"/>
      <c r="S120" s="3"/>
      <c r="T120" s="3"/>
      <c r="U120" s="3"/>
      <c r="V120" s="3"/>
    </row>
    <row r="121" spans="1:22" s="10" customFormat="1" ht="75" customHeight="1" thickBot="1" x14ac:dyDescent="0.3">
      <c r="A121" s="27" t="s">
        <v>209</v>
      </c>
      <c r="B121" s="293" t="s">
        <v>310</v>
      </c>
      <c r="C121" s="294" t="s">
        <v>21</v>
      </c>
      <c r="D121" s="295">
        <v>759</v>
      </c>
      <c r="E121" s="296" t="s">
        <v>32</v>
      </c>
      <c r="F121" s="295">
        <v>5221020</v>
      </c>
      <c r="G121" s="296" t="s">
        <v>17</v>
      </c>
      <c r="H121" s="298">
        <v>800</v>
      </c>
      <c r="I121" s="298"/>
      <c r="J121" s="298"/>
      <c r="K121" s="298"/>
      <c r="L121" s="298"/>
      <c r="M121" s="298"/>
      <c r="N121" s="298"/>
      <c r="O121" s="298"/>
      <c r="P121" s="297">
        <f>SUM(H121:O121)</f>
        <v>800</v>
      </c>
      <c r="Q121" s="9"/>
      <c r="R121" s="3"/>
      <c r="S121" s="3"/>
      <c r="T121" s="3"/>
      <c r="U121" s="3"/>
      <c r="V121" s="3"/>
    </row>
    <row r="122" spans="1:22" s="10" customFormat="1" ht="39" customHeight="1" x14ac:dyDescent="0.25">
      <c r="A122" s="401" t="s">
        <v>210</v>
      </c>
      <c r="B122" s="400" t="s">
        <v>109</v>
      </c>
      <c r="C122" s="400" t="s">
        <v>21</v>
      </c>
      <c r="D122" s="280">
        <v>759</v>
      </c>
      <c r="E122" s="299" t="s">
        <v>110</v>
      </c>
      <c r="F122" s="280">
        <v>1132235</v>
      </c>
      <c r="G122" s="280">
        <v>244</v>
      </c>
      <c r="H122" s="250"/>
      <c r="I122" s="250">
        <v>5800</v>
      </c>
      <c r="J122" s="250">
        <v>0</v>
      </c>
      <c r="K122" s="249"/>
      <c r="L122" s="249"/>
      <c r="M122" s="249"/>
      <c r="N122" s="249"/>
      <c r="O122" s="249"/>
      <c r="P122" s="407">
        <f>SUM(H122:O123)</f>
        <v>5800</v>
      </c>
      <c r="Q122" s="9"/>
      <c r="R122" s="3"/>
      <c r="S122" s="3"/>
      <c r="T122" s="3"/>
      <c r="U122" s="3"/>
      <c r="V122" s="3"/>
    </row>
    <row r="123" spans="1:22" s="10" customFormat="1" ht="33" customHeight="1" thickBot="1" x14ac:dyDescent="0.3">
      <c r="A123" s="421"/>
      <c r="B123" s="394"/>
      <c r="C123" s="394"/>
      <c r="D123" s="295">
        <v>759</v>
      </c>
      <c r="E123" s="296" t="s">
        <v>110</v>
      </c>
      <c r="F123" s="295">
        <v>1130122350</v>
      </c>
      <c r="G123" s="300">
        <v>244</v>
      </c>
      <c r="H123" s="258"/>
      <c r="I123" s="258"/>
      <c r="J123" s="258"/>
      <c r="K123" s="258">
        <v>0</v>
      </c>
      <c r="L123" s="258">
        <v>0</v>
      </c>
      <c r="M123" s="258">
        <v>0</v>
      </c>
      <c r="N123" s="258">
        <v>0</v>
      </c>
      <c r="O123" s="258">
        <v>0</v>
      </c>
      <c r="P123" s="396"/>
      <c r="Q123" s="9"/>
      <c r="R123" s="3"/>
      <c r="S123" s="3"/>
      <c r="T123" s="3"/>
      <c r="U123" s="3"/>
      <c r="V123" s="3"/>
    </row>
    <row r="124" spans="1:22" s="13" customFormat="1" ht="21" customHeight="1" thickBot="1" x14ac:dyDescent="0.25">
      <c r="A124" s="402" t="s">
        <v>105</v>
      </c>
      <c r="B124" s="412" t="s">
        <v>299</v>
      </c>
      <c r="C124" s="27" t="s">
        <v>27</v>
      </c>
      <c r="D124" s="301" t="s">
        <v>294</v>
      </c>
      <c r="E124" s="301" t="s">
        <v>294</v>
      </c>
      <c r="F124" s="301" t="s">
        <v>294</v>
      </c>
      <c r="G124" s="301" t="s">
        <v>294</v>
      </c>
      <c r="H124" s="152">
        <f>SUM(H125:H128)</f>
        <v>32530</v>
      </c>
      <c r="I124" s="152">
        <f t="shared" ref="I124:J124" si="36">SUM(I125:I128)</f>
        <v>6688</v>
      </c>
      <c r="J124" s="152">
        <f t="shared" si="36"/>
        <v>8789.5</v>
      </c>
      <c r="K124" s="152">
        <f>K131+K132</f>
        <v>8326</v>
      </c>
      <c r="L124" s="152">
        <f>L131+L132</f>
        <v>6955</v>
      </c>
      <c r="M124" s="152">
        <f>M131+M132</f>
        <v>6955</v>
      </c>
      <c r="N124" s="152">
        <f>N131+N132</f>
        <v>6955</v>
      </c>
      <c r="O124" s="152">
        <f>O131+O132</f>
        <v>6955</v>
      </c>
      <c r="P124" s="152">
        <f>SUM(H124:O124)</f>
        <v>84153.5</v>
      </c>
      <c r="Q124" s="9"/>
      <c r="R124" s="3"/>
      <c r="S124" s="3"/>
      <c r="T124" s="3"/>
      <c r="U124" s="3"/>
      <c r="V124" s="3"/>
    </row>
    <row r="125" spans="1:22" s="13" customFormat="1" ht="73.5" customHeight="1" thickBot="1" x14ac:dyDescent="0.25">
      <c r="A125" s="402"/>
      <c r="B125" s="413"/>
      <c r="C125" s="226" t="s">
        <v>22</v>
      </c>
      <c r="D125" s="202">
        <v>755</v>
      </c>
      <c r="E125" s="139" t="s">
        <v>30</v>
      </c>
      <c r="F125" s="302" t="s">
        <v>294</v>
      </c>
      <c r="G125" s="228" t="s">
        <v>17</v>
      </c>
      <c r="H125" s="184">
        <f>H133+H134</f>
        <v>580</v>
      </c>
      <c r="I125" s="157"/>
      <c r="J125" s="157"/>
      <c r="K125" s="157"/>
      <c r="L125" s="157"/>
      <c r="M125" s="157"/>
      <c r="N125" s="157"/>
      <c r="O125" s="157"/>
      <c r="P125" s="157">
        <f>SUM(H125:O125)</f>
        <v>580</v>
      </c>
      <c r="Q125" s="9"/>
      <c r="R125" s="3"/>
      <c r="S125" s="3"/>
      <c r="T125" s="3"/>
      <c r="U125" s="3"/>
      <c r="V125" s="3"/>
    </row>
    <row r="126" spans="1:22" s="13" customFormat="1" ht="58.5" customHeight="1" thickBot="1" x14ac:dyDescent="0.25">
      <c r="A126" s="402"/>
      <c r="B126" s="413"/>
      <c r="C126" s="226" t="s">
        <v>21</v>
      </c>
      <c r="D126" s="302">
        <v>759</v>
      </c>
      <c r="E126" s="303" t="s">
        <v>32</v>
      </c>
      <c r="F126" s="302" t="s">
        <v>294</v>
      </c>
      <c r="G126" s="303" t="s">
        <v>17</v>
      </c>
      <c r="H126" s="157">
        <f t="shared" ref="H126:O126" si="37">H132</f>
        <v>22000</v>
      </c>
      <c r="I126" s="157">
        <f t="shared" si="37"/>
        <v>0</v>
      </c>
      <c r="J126" s="157">
        <f t="shared" si="37"/>
        <v>0</v>
      </c>
      <c r="K126" s="157">
        <f t="shared" si="37"/>
        <v>0</v>
      </c>
      <c r="L126" s="157">
        <f t="shared" si="37"/>
        <v>0</v>
      </c>
      <c r="M126" s="157">
        <f t="shared" si="37"/>
        <v>0</v>
      </c>
      <c r="N126" s="157">
        <f t="shared" si="37"/>
        <v>0</v>
      </c>
      <c r="O126" s="157">
        <f t="shared" si="37"/>
        <v>0</v>
      </c>
      <c r="P126" s="157">
        <f>SUM(H126:O126)</f>
        <v>22000</v>
      </c>
      <c r="Q126" s="9"/>
      <c r="R126" s="3"/>
      <c r="S126" s="3"/>
      <c r="T126" s="3"/>
      <c r="U126" s="3"/>
      <c r="V126" s="3"/>
    </row>
    <row r="127" spans="1:22" s="13" customFormat="1" ht="30" customHeight="1" x14ac:dyDescent="0.2">
      <c r="A127" s="402"/>
      <c r="B127" s="413"/>
      <c r="C127" s="413" t="s">
        <v>63</v>
      </c>
      <c r="D127" s="304">
        <v>760</v>
      </c>
      <c r="E127" s="305" t="s">
        <v>37</v>
      </c>
      <c r="F127" s="209" t="s">
        <v>294</v>
      </c>
      <c r="G127" s="210" t="s">
        <v>294</v>
      </c>
      <c r="H127" s="306">
        <f>H129</f>
        <v>9950</v>
      </c>
      <c r="I127" s="306">
        <f>I130</f>
        <v>6688</v>
      </c>
      <c r="J127" s="306">
        <f>J130</f>
        <v>8789.5</v>
      </c>
      <c r="K127" s="306"/>
      <c r="L127" s="306"/>
      <c r="M127" s="306"/>
      <c r="N127" s="306"/>
      <c r="O127" s="306"/>
      <c r="P127" s="460">
        <f>SUM(H127:O128)</f>
        <v>61573.5</v>
      </c>
      <c r="Q127" s="9"/>
      <c r="R127" s="3"/>
      <c r="S127" s="3"/>
      <c r="T127" s="3"/>
      <c r="U127" s="3"/>
      <c r="V127" s="3"/>
    </row>
    <row r="128" spans="1:22" s="13" customFormat="1" ht="30" customHeight="1" thickBot="1" x14ac:dyDescent="0.3">
      <c r="A128" s="402"/>
      <c r="B128" s="414"/>
      <c r="C128" s="414"/>
      <c r="D128" s="307">
        <v>760</v>
      </c>
      <c r="E128" s="308">
        <v>1006</v>
      </c>
      <c r="F128" s="188">
        <v>1130200000</v>
      </c>
      <c r="G128" s="188" t="s">
        <v>294</v>
      </c>
      <c r="H128" s="154"/>
      <c r="I128" s="154"/>
      <c r="J128" s="154"/>
      <c r="K128" s="155">
        <f>K131</f>
        <v>8326</v>
      </c>
      <c r="L128" s="155">
        <f t="shared" ref="L128:O128" si="38">L131</f>
        <v>6955</v>
      </c>
      <c r="M128" s="155">
        <f t="shared" si="38"/>
        <v>6955</v>
      </c>
      <c r="N128" s="155">
        <f t="shared" si="38"/>
        <v>6955</v>
      </c>
      <c r="O128" s="155">
        <f t="shared" si="38"/>
        <v>6955</v>
      </c>
      <c r="P128" s="461"/>
      <c r="Q128" s="9"/>
      <c r="R128" s="3"/>
      <c r="S128" s="3"/>
      <c r="T128" s="3"/>
      <c r="U128" s="3"/>
      <c r="V128" s="3"/>
    </row>
    <row r="129" spans="1:22" s="10" customFormat="1" ht="23.1" customHeight="1" x14ac:dyDescent="0.25">
      <c r="A129" s="401" t="s">
        <v>211</v>
      </c>
      <c r="B129" s="400" t="s">
        <v>68</v>
      </c>
      <c r="C129" s="400" t="s">
        <v>63</v>
      </c>
      <c r="D129" s="280">
        <v>760</v>
      </c>
      <c r="E129" s="280">
        <v>1006</v>
      </c>
      <c r="F129" s="280">
        <v>5221020</v>
      </c>
      <c r="G129" s="309" t="s">
        <v>17</v>
      </c>
      <c r="H129" s="250">
        <v>9950</v>
      </c>
      <c r="I129" s="249"/>
      <c r="J129" s="249"/>
      <c r="K129" s="249"/>
      <c r="L129" s="249"/>
      <c r="M129" s="249"/>
      <c r="N129" s="249"/>
      <c r="O129" s="249"/>
      <c r="P129" s="407">
        <f>SUM(H129:O131)</f>
        <v>61573.5</v>
      </c>
      <c r="Q129" s="9"/>
      <c r="R129" s="3"/>
      <c r="S129" s="3"/>
      <c r="T129" s="3"/>
      <c r="U129" s="3"/>
      <c r="V129" s="3"/>
    </row>
    <row r="130" spans="1:22" s="10" customFormat="1" ht="23.1" customHeight="1" x14ac:dyDescent="0.25">
      <c r="A130" s="402"/>
      <c r="B130" s="393"/>
      <c r="C130" s="393"/>
      <c r="D130" s="282">
        <v>760</v>
      </c>
      <c r="E130" s="282">
        <v>1006</v>
      </c>
      <c r="F130" s="282">
        <v>1132150</v>
      </c>
      <c r="G130" s="289">
        <v>244</v>
      </c>
      <c r="H130" s="252"/>
      <c r="I130" s="252">
        <v>6688</v>
      </c>
      <c r="J130" s="252">
        <f>6688+2101.5</f>
        <v>8789.5</v>
      </c>
      <c r="K130" s="252"/>
      <c r="L130" s="252"/>
      <c r="M130" s="252"/>
      <c r="N130" s="252"/>
      <c r="O130" s="252"/>
      <c r="P130" s="395"/>
      <c r="Q130" s="9"/>
      <c r="R130" s="3"/>
      <c r="S130" s="3"/>
      <c r="T130" s="3"/>
      <c r="U130" s="3"/>
      <c r="V130" s="3"/>
    </row>
    <row r="131" spans="1:22" s="10" customFormat="1" ht="23.1" customHeight="1" thickBot="1" x14ac:dyDescent="0.3">
      <c r="A131" s="421"/>
      <c r="B131" s="394"/>
      <c r="C131" s="394"/>
      <c r="D131" s="291">
        <v>760</v>
      </c>
      <c r="E131" s="291">
        <v>1006</v>
      </c>
      <c r="F131" s="291">
        <v>1130221500</v>
      </c>
      <c r="G131" s="292">
        <v>244</v>
      </c>
      <c r="H131" s="258"/>
      <c r="I131" s="258"/>
      <c r="J131" s="258"/>
      <c r="K131" s="258">
        <f>6688+1638</f>
        <v>8326</v>
      </c>
      <c r="L131" s="258">
        <v>6955</v>
      </c>
      <c r="M131" s="258">
        <v>6955</v>
      </c>
      <c r="N131" s="258">
        <v>6955</v>
      </c>
      <c r="O131" s="258">
        <v>6955</v>
      </c>
      <c r="P131" s="396"/>
      <c r="Q131" s="9"/>
      <c r="R131" s="3"/>
      <c r="S131" s="3"/>
      <c r="T131" s="3"/>
      <c r="U131" s="3"/>
      <c r="V131" s="3"/>
    </row>
    <row r="132" spans="1:22" s="10" customFormat="1" ht="84" customHeight="1" thickBot="1" x14ac:dyDescent="0.3">
      <c r="A132" s="202" t="s">
        <v>212</v>
      </c>
      <c r="B132" s="141" t="s">
        <v>311</v>
      </c>
      <c r="C132" s="141" t="s">
        <v>21</v>
      </c>
      <c r="D132" s="387">
        <v>759</v>
      </c>
      <c r="E132" s="387" t="s">
        <v>32</v>
      </c>
      <c r="F132" s="388">
        <v>5221020</v>
      </c>
      <c r="G132" s="387" t="s">
        <v>17</v>
      </c>
      <c r="H132" s="205">
        <v>22000</v>
      </c>
      <c r="I132" s="143">
        <v>0</v>
      </c>
      <c r="J132" s="143">
        <v>0</v>
      </c>
      <c r="K132" s="143">
        <v>0</v>
      </c>
      <c r="L132" s="143">
        <v>0</v>
      </c>
      <c r="M132" s="143">
        <v>0</v>
      </c>
      <c r="N132" s="143">
        <v>0</v>
      </c>
      <c r="O132" s="143">
        <v>0</v>
      </c>
      <c r="P132" s="143">
        <f>SUM(H132:O132)</f>
        <v>22000</v>
      </c>
      <c r="Q132" s="9"/>
      <c r="R132" s="3"/>
      <c r="S132" s="3"/>
      <c r="T132" s="3"/>
      <c r="U132" s="3"/>
      <c r="V132" s="3"/>
    </row>
    <row r="133" spans="1:22" s="10" customFormat="1" ht="76.5" customHeight="1" thickBot="1" x14ac:dyDescent="0.3">
      <c r="A133" s="311" t="s">
        <v>262</v>
      </c>
      <c r="B133" s="141" t="s">
        <v>73</v>
      </c>
      <c r="C133" s="141" t="s">
        <v>22</v>
      </c>
      <c r="D133" s="160">
        <v>755</v>
      </c>
      <c r="E133" s="142" t="s">
        <v>30</v>
      </c>
      <c r="F133" s="160">
        <v>5225513</v>
      </c>
      <c r="G133" s="161" t="s">
        <v>17</v>
      </c>
      <c r="H133" s="205">
        <v>500</v>
      </c>
      <c r="I133" s="143">
        <v>0</v>
      </c>
      <c r="J133" s="143">
        <v>0</v>
      </c>
      <c r="K133" s="143">
        <v>0</v>
      </c>
      <c r="L133" s="143">
        <v>0</v>
      </c>
      <c r="M133" s="143">
        <v>0</v>
      </c>
      <c r="N133" s="143">
        <v>0</v>
      </c>
      <c r="O133" s="143">
        <v>0</v>
      </c>
      <c r="P133" s="143">
        <f>SUM(H133:O133)</f>
        <v>500</v>
      </c>
      <c r="Q133" s="9"/>
      <c r="R133" s="3"/>
      <c r="S133" s="3"/>
      <c r="T133" s="3"/>
      <c r="U133" s="3"/>
      <c r="V133" s="3"/>
    </row>
    <row r="134" spans="1:22" s="10" customFormat="1" ht="73.5" customHeight="1" thickBot="1" x14ac:dyDescent="0.3">
      <c r="A134" s="312" t="s">
        <v>263</v>
      </c>
      <c r="B134" s="313" t="s">
        <v>74</v>
      </c>
      <c r="C134" s="314" t="s">
        <v>22</v>
      </c>
      <c r="D134" s="113">
        <v>755</v>
      </c>
      <c r="E134" s="172" t="s">
        <v>30</v>
      </c>
      <c r="F134" s="110">
        <v>5226210</v>
      </c>
      <c r="G134" s="190" t="s">
        <v>17</v>
      </c>
      <c r="H134" s="310">
        <v>80</v>
      </c>
      <c r="I134" s="310">
        <v>0</v>
      </c>
      <c r="J134" s="310">
        <v>0</v>
      </c>
      <c r="K134" s="310">
        <v>0</v>
      </c>
      <c r="L134" s="310">
        <v>0</v>
      </c>
      <c r="M134" s="310">
        <v>0</v>
      </c>
      <c r="N134" s="310">
        <v>0</v>
      </c>
      <c r="O134" s="310">
        <v>0</v>
      </c>
      <c r="P134" s="310">
        <f>SUM(H134:O134)</f>
        <v>80</v>
      </c>
      <c r="Q134" s="9"/>
      <c r="R134" s="3"/>
      <c r="S134" s="3"/>
      <c r="T134" s="3"/>
      <c r="U134" s="3"/>
      <c r="V134" s="3"/>
    </row>
    <row r="135" spans="1:22" s="13" customFormat="1" ht="22.5" customHeight="1" thickBot="1" x14ac:dyDescent="0.25">
      <c r="A135" s="401" t="s">
        <v>132</v>
      </c>
      <c r="B135" s="412" t="s">
        <v>300</v>
      </c>
      <c r="C135" s="202" t="s">
        <v>27</v>
      </c>
      <c r="D135" s="139" t="s">
        <v>294</v>
      </c>
      <c r="E135" s="139" t="s">
        <v>294</v>
      </c>
      <c r="F135" s="139" t="s">
        <v>294</v>
      </c>
      <c r="G135" s="139" t="s">
        <v>294</v>
      </c>
      <c r="H135" s="273">
        <f>SUM(H136:H137)</f>
        <v>1580</v>
      </c>
      <c r="I135" s="315">
        <f t="shared" ref="I135:J135" si="39">SUM(I136:I137)</f>
        <v>0</v>
      </c>
      <c r="J135" s="315">
        <f t="shared" si="39"/>
        <v>0</v>
      </c>
      <c r="K135" s="316">
        <f>K140</f>
        <v>0</v>
      </c>
      <c r="L135" s="316">
        <f>L140</f>
        <v>0</v>
      </c>
      <c r="M135" s="316">
        <f>M140</f>
        <v>0</v>
      </c>
      <c r="N135" s="316">
        <f>N140</f>
        <v>0</v>
      </c>
      <c r="O135" s="316">
        <f>O140</f>
        <v>0</v>
      </c>
      <c r="P135" s="316">
        <f>SUM(H135:O135)</f>
        <v>1580</v>
      </c>
      <c r="Q135" s="9"/>
      <c r="R135" s="3"/>
      <c r="S135" s="3"/>
      <c r="T135" s="3"/>
      <c r="U135" s="3"/>
      <c r="V135" s="3"/>
    </row>
    <row r="136" spans="1:22" s="13" customFormat="1" ht="35.1" customHeight="1" x14ac:dyDescent="0.2">
      <c r="A136" s="402"/>
      <c r="B136" s="413"/>
      <c r="C136" s="412" t="s">
        <v>181</v>
      </c>
      <c r="D136" s="317" t="s">
        <v>38</v>
      </c>
      <c r="E136" s="261" t="s">
        <v>294</v>
      </c>
      <c r="F136" s="260" t="s">
        <v>294</v>
      </c>
      <c r="G136" s="261" t="s">
        <v>294</v>
      </c>
      <c r="H136" s="186">
        <f>SUM(H138:H140)</f>
        <v>1580</v>
      </c>
      <c r="I136" s="186">
        <f>SUM(I138:I140)</f>
        <v>0</v>
      </c>
      <c r="J136" s="186">
        <f>SUM(J138:J140)</f>
        <v>0</v>
      </c>
      <c r="K136" s="158"/>
      <c r="L136" s="158"/>
      <c r="M136" s="158"/>
      <c r="N136" s="158"/>
      <c r="O136" s="158"/>
      <c r="P136" s="456">
        <f>SUM(H136:O137)</f>
        <v>1580</v>
      </c>
      <c r="Q136" s="9"/>
      <c r="R136" s="3"/>
      <c r="S136" s="3"/>
      <c r="T136" s="3"/>
      <c r="U136" s="3"/>
      <c r="V136" s="3"/>
    </row>
    <row r="137" spans="1:22" s="13" customFormat="1" ht="41.25" customHeight="1" thickBot="1" x14ac:dyDescent="0.3">
      <c r="A137" s="421"/>
      <c r="B137" s="414"/>
      <c r="C137" s="414"/>
      <c r="D137" s="308">
        <v>784</v>
      </c>
      <c r="E137" s="231" t="s">
        <v>294</v>
      </c>
      <c r="F137" s="188">
        <v>1130300000</v>
      </c>
      <c r="G137" s="231" t="s">
        <v>294</v>
      </c>
      <c r="H137" s="154"/>
      <c r="I137" s="154"/>
      <c r="J137" s="154"/>
      <c r="K137" s="189">
        <f t="shared" ref="K137" si="40">SUM(K138:K140)</f>
        <v>0</v>
      </c>
      <c r="L137" s="189">
        <f t="shared" ref="L137" si="41">SUM(L138:L140)</f>
        <v>0</v>
      </c>
      <c r="M137" s="189">
        <f t="shared" ref="M137:N137" si="42">SUM(M138:M140)</f>
        <v>0</v>
      </c>
      <c r="N137" s="189">
        <f t="shared" si="42"/>
        <v>0</v>
      </c>
      <c r="O137" s="189">
        <f t="shared" ref="O137" si="43">SUM(O138:O140)</f>
        <v>0</v>
      </c>
      <c r="P137" s="457"/>
      <c r="Q137" s="9"/>
      <c r="R137" s="3"/>
      <c r="S137" s="3"/>
      <c r="T137" s="3"/>
      <c r="U137" s="3"/>
      <c r="V137" s="3"/>
    </row>
    <row r="138" spans="1:22" s="10" customFormat="1" ht="30" customHeight="1" x14ac:dyDescent="0.25">
      <c r="A138" s="401" t="s">
        <v>213</v>
      </c>
      <c r="B138" s="400" t="s">
        <v>106</v>
      </c>
      <c r="C138" s="400" t="s">
        <v>181</v>
      </c>
      <c r="D138" s="280">
        <v>784</v>
      </c>
      <c r="E138" s="299" t="s">
        <v>18</v>
      </c>
      <c r="F138" s="280">
        <v>5221020</v>
      </c>
      <c r="G138" s="299" t="s">
        <v>17</v>
      </c>
      <c r="H138" s="250">
        <v>1580</v>
      </c>
      <c r="I138" s="249"/>
      <c r="J138" s="249"/>
      <c r="K138" s="249"/>
      <c r="L138" s="249"/>
      <c r="M138" s="249"/>
      <c r="N138" s="249"/>
      <c r="O138" s="249"/>
      <c r="P138" s="407">
        <f>SUM(H138:O140)</f>
        <v>1580</v>
      </c>
      <c r="Q138" s="9"/>
      <c r="R138" s="3"/>
      <c r="S138" s="3"/>
      <c r="T138" s="3"/>
      <c r="U138" s="3"/>
      <c r="V138" s="3"/>
    </row>
    <row r="139" spans="1:22" s="10" customFormat="1" ht="30" customHeight="1" x14ac:dyDescent="0.25">
      <c r="A139" s="402"/>
      <c r="B139" s="393"/>
      <c r="C139" s="393"/>
      <c r="D139" s="108">
        <v>784</v>
      </c>
      <c r="E139" s="288" t="s">
        <v>18</v>
      </c>
      <c r="F139" s="108">
        <v>1132047</v>
      </c>
      <c r="G139" s="108">
        <v>244</v>
      </c>
      <c r="H139" s="252"/>
      <c r="I139" s="252">
        <f>158-158</f>
        <v>0</v>
      </c>
      <c r="J139" s="252">
        <f>158-158</f>
        <v>0</v>
      </c>
      <c r="K139" s="252"/>
      <c r="L139" s="252"/>
      <c r="M139" s="252"/>
      <c r="N139" s="252"/>
      <c r="O139" s="252"/>
      <c r="P139" s="395"/>
      <c r="Q139" s="9"/>
      <c r="R139" s="3"/>
      <c r="S139" s="3"/>
      <c r="T139" s="3"/>
      <c r="U139" s="3"/>
      <c r="V139" s="3"/>
    </row>
    <row r="140" spans="1:22" ht="30" customHeight="1" thickBot="1" x14ac:dyDescent="0.3">
      <c r="A140" s="421"/>
      <c r="B140" s="394"/>
      <c r="C140" s="394"/>
      <c r="D140" s="291">
        <v>784</v>
      </c>
      <c r="E140" s="290" t="s">
        <v>18</v>
      </c>
      <c r="F140" s="291">
        <v>1130320470</v>
      </c>
      <c r="G140" s="291">
        <v>244</v>
      </c>
      <c r="H140" s="258"/>
      <c r="I140" s="258"/>
      <c r="J140" s="258"/>
      <c r="K140" s="258">
        <f>158-158</f>
        <v>0</v>
      </c>
      <c r="L140" s="258">
        <v>0</v>
      </c>
      <c r="M140" s="258">
        <v>0</v>
      </c>
      <c r="N140" s="258">
        <v>0</v>
      </c>
      <c r="O140" s="258">
        <v>0</v>
      </c>
      <c r="P140" s="396"/>
    </row>
    <row r="141" spans="1:22" s="10" customFormat="1" ht="21" customHeight="1" thickBot="1" x14ac:dyDescent="0.3">
      <c r="A141" s="397" t="s">
        <v>26</v>
      </c>
      <c r="B141" s="412" t="s">
        <v>141</v>
      </c>
      <c r="C141" s="202" t="s">
        <v>27</v>
      </c>
      <c r="D141" s="202">
        <v>755</v>
      </c>
      <c r="E141" s="139" t="s">
        <v>294</v>
      </c>
      <c r="F141" s="139" t="s">
        <v>294</v>
      </c>
      <c r="G141" s="228" t="s">
        <v>294</v>
      </c>
      <c r="H141" s="184">
        <f>H145+H157</f>
        <v>41082.01</v>
      </c>
      <c r="I141" s="184">
        <f>I145+I157</f>
        <v>42584.61</v>
      </c>
      <c r="J141" s="184">
        <f>J145+J157</f>
        <v>183473.38687999998</v>
      </c>
      <c r="K141" s="184">
        <f t="shared" ref="K141:O141" si="44">K144+K156</f>
        <v>191467.16900000002</v>
      </c>
      <c r="L141" s="184">
        <f t="shared" si="44"/>
        <v>166202.01</v>
      </c>
      <c r="M141" s="184">
        <f t="shared" si="44"/>
        <v>164919.29</v>
      </c>
      <c r="N141" s="184">
        <f t="shared" si="44"/>
        <v>164919.29</v>
      </c>
      <c r="O141" s="184">
        <f t="shared" si="44"/>
        <v>164919.29</v>
      </c>
      <c r="P141" s="184">
        <f>SUM(H141:O141)</f>
        <v>1119567.0558800001</v>
      </c>
      <c r="Q141" s="9"/>
      <c r="R141" s="3"/>
      <c r="S141" s="3"/>
      <c r="T141" s="3"/>
      <c r="U141" s="3"/>
      <c r="V141" s="3"/>
    </row>
    <row r="142" spans="1:22" s="13" customFormat="1" ht="35.1" customHeight="1" x14ac:dyDescent="0.2">
      <c r="A142" s="398"/>
      <c r="B142" s="413"/>
      <c r="C142" s="412" t="s">
        <v>22</v>
      </c>
      <c r="D142" s="222">
        <v>755</v>
      </c>
      <c r="E142" s="151" t="s">
        <v>294</v>
      </c>
      <c r="F142" s="222" t="s">
        <v>294</v>
      </c>
      <c r="G142" s="151" t="s">
        <v>294</v>
      </c>
      <c r="H142" s="186">
        <f>H145+H157</f>
        <v>41082.01</v>
      </c>
      <c r="I142" s="186">
        <f>I145+I157</f>
        <v>42584.61</v>
      </c>
      <c r="J142" s="186">
        <f>J145+J157</f>
        <v>183473.38687999998</v>
      </c>
      <c r="K142" s="186"/>
      <c r="L142" s="186"/>
      <c r="M142" s="186"/>
      <c r="N142" s="186"/>
      <c r="O142" s="186"/>
      <c r="P142" s="410">
        <f>SUM(H142:O143)</f>
        <v>1119567.0558800001</v>
      </c>
      <c r="Q142" s="9"/>
      <c r="R142" s="3"/>
      <c r="S142" s="3"/>
      <c r="T142" s="3"/>
      <c r="U142" s="3"/>
      <c r="V142" s="3"/>
    </row>
    <row r="143" spans="1:22" s="13" customFormat="1" ht="35.1" customHeight="1" thickBot="1" x14ac:dyDescent="0.3">
      <c r="A143" s="399"/>
      <c r="B143" s="414"/>
      <c r="C143" s="414"/>
      <c r="D143" s="188">
        <v>755</v>
      </c>
      <c r="E143" s="187" t="s">
        <v>294</v>
      </c>
      <c r="F143" s="188">
        <v>1140000000</v>
      </c>
      <c r="G143" s="187" t="s">
        <v>294</v>
      </c>
      <c r="H143" s="154"/>
      <c r="I143" s="154"/>
      <c r="J143" s="154"/>
      <c r="K143" s="189">
        <f>K144+K156</f>
        <v>191467.16900000002</v>
      </c>
      <c r="L143" s="189">
        <f t="shared" ref="L143:O143" si="45">L144+L156</f>
        <v>166202.01</v>
      </c>
      <c r="M143" s="189">
        <f t="shared" si="45"/>
        <v>164919.29</v>
      </c>
      <c r="N143" s="189">
        <f t="shared" si="45"/>
        <v>164919.29</v>
      </c>
      <c r="O143" s="189">
        <f t="shared" si="45"/>
        <v>164919.29</v>
      </c>
      <c r="P143" s="411"/>
      <c r="Q143" s="9"/>
      <c r="R143" s="3"/>
      <c r="S143" s="3"/>
      <c r="T143" s="3"/>
      <c r="U143" s="3"/>
      <c r="V143" s="3"/>
    </row>
    <row r="144" spans="1:22" s="10" customFormat="1" ht="24" customHeight="1" thickBot="1" x14ac:dyDescent="0.3">
      <c r="A144" s="397" t="s">
        <v>2</v>
      </c>
      <c r="B144" s="412" t="s">
        <v>301</v>
      </c>
      <c r="C144" s="202" t="s">
        <v>27</v>
      </c>
      <c r="D144" s="202" t="s">
        <v>294</v>
      </c>
      <c r="E144" s="139" t="s">
        <v>294</v>
      </c>
      <c r="F144" s="139" t="s">
        <v>294</v>
      </c>
      <c r="G144" s="139" t="s">
        <v>294</v>
      </c>
      <c r="H144" s="184">
        <f>SUM(H145:H146)</f>
        <v>41082.01</v>
      </c>
      <c r="I144" s="184">
        <f t="shared" ref="I144:J144" si="46">SUM(I145:I146)</f>
        <v>39011.83</v>
      </c>
      <c r="J144" s="184">
        <f t="shared" si="46"/>
        <v>33744.9</v>
      </c>
      <c r="K144" s="184">
        <f>K149+K153+K155+K152+K154</f>
        <v>32421.067770000001</v>
      </c>
      <c r="L144" s="184">
        <f>L149+L154+L153+L155</f>
        <v>30906.04</v>
      </c>
      <c r="M144" s="184">
        <f t="shared" ref="M144:O144" si="47">M149+M154+M153+M155</f>
        <v>29623.32</v>
      </c>
      <c r="N144" s="184">
        <f t="shared" si="47"/>
        <v>29623.32</v>
      </c>
      <c r="O144" s="184">
        <f t="shared" si="47"/>
        <v>29623.32</v>
      </c>
      <c r="P144" s="184">
        <f>SUM(H144:O144)</f>
        <v>266035.80777000001</v>
      </c>
      <c r="Q144" s="9"/>
      <c r="R144" s="3"/>
      <c r="S144" s="3"/>
      <c r="T144" s="3"/>
      <c r="U144" s="3"/>
      <c r="V144" s="3"/>
    </row>
    <row r="145" spans="1:22" s="13" customFormat="1" ht="35.1" customHeight="1" x14ac:dyDescent="0.2">
      <c r="A145" s="398"/>
      <c r="B145" s="413"/>
      <c r="C145" s="463" t="s">
        <v>22</v>
      </c>
      <c r="D145" s="151" t="s">
        <v>35</v>
      </c>
      <c r="E145" s="261" t="s">
        <v>294</v>
      </c>
      <c r="F145" s="260" t="s">
        <v>294</v>
      </c>
      <c r="G145" s="261" t="s">
        <v>294</v>
      </c>
      <c r="H145" s="186">
        <f>SUM(H147:H155)</f>
        <v>41082.01</v>
      </c>
      <c r="I145" s="186">
        <f>SUM(I147:I155)</f>
        <v>39011.83</v>
      </c>
      <c r="J145" s="186">
        <f>SUM(J147:J155)</f>
        <v>33744.9</v>
      </c>
      <c r="K145" s="186"/>
      <c r="L145" s="186"/>
      <c r="M145" s="186"/>
      <c r="N145" s="186"/>
      <c r="O145" s="186"/>
      <c r="P145" s="410">
        <f>SUM(H145:O146)</f>
        <v>266035.80777000001</v>
      </c>
      <c r="Q145" s="9"/>
      <c r="R145" s="3"/>
      <c r="S145" s="3"/>
      <c r="T145" s="3"/>
      <c r="U145" s="3"/>
      <c r="V145" s="3"/>
    </row>
    <row r="146" spans="1:22" s="13" customFormat="1" ht="39" customHeight="1" thickBot="1" x14ac:dyDescent="0.3">
      <c r="A146" s="399"/>
      <c r="B146" s="414"/>
      <c r="C146" s="464"/>
      <c r="D146" s="187" t="s">
        <v>35</v>
      </c>
      <c r="E146" s="231" t="s">
        <v>294</v>
      </c>
      <c r="F146" s="188">
        <v>1140100000</v>
      </c>
      <c r="G146" s="231" t="s">
        <v>294</v>
      </c>
      <c r="H146" s="154"/>
      <c r="I146" s="154"/>
      <c r="J146" s="154"/>
      <c r="K146" s="189">
        <f>SUM(K147:K155)</f>
        <v>32421.067770000001</v>
      </c>
      <c r="L146" s="189">
        <f t="shared" ref="L146:O146" si="48">SUM(L147:L155)</f>
        <v>30906.04</v>
      </c>
      <c r="M146" s="189">
        <f t="shared" si="48"/>
        <v>29623.32</v>
      </c>
      <c r="N146" s="189">
        <f t="shared" si="48"/>
        <v>29623.32</v>
      </c>
      <c r="O146" s="189">
        <f t="shared" si="48"/>
        <v>29623.32</v>
      </c>
      <c r="P146" s="411"/>
      <c r="Q146" s="9"/>
      <c r="R146" s="3"/>
      <c r="S146" s="3"/>
      <c r="T146" s="3"/>
      <c r="U146" s="3"/>
      <c r="V146" s="3"/>
    </row>
    <row r="147" spans="1:22" s="10" customFormat="1" ht="23.1" customHeight="1" x14ac:dyDescent="0.25">
      <c r="A147" s="401" t="s">
        <v>214</v>
      </c>
      <c r="B147" s="400" t="s">
        <v>69</v>
      </c>
      <c r="C147" s="400" t="s">
        <v>22</v>
      </c>
      <c r="D147" s="110">
        <v>755</v>
      </c>
      <c r="E147" s="172" t="s">
        <v>16</v>
      </c>
      <c r="F147" s="172" t="s">
        <v>70</v>
      </c>
      <c r="G147" s="190" t="s">
        <v>17</v>
      </c>
      <c r="H147" s="266">
        <v>39059.11</v>
      </c>
      <c r="I147" s="267"/>
      <c r="J147" s="267"/>
      <c r="K147" s="267"/>
      <c r="L147" s="267"/>
      <c r="M147" s="267"/>
      <c r="N147" s="267"/>
      <c r="O147" s="267"/>
      <c r="P147" s="395">
        <f>SUM(H147:O149)</f>
        <v>258146.02100000001</v>
      </c>
      <c r="Q147" s="9"/>
      <c r="R147" s="3"/>
      <c r="S147" s="3"/>
      <c r="T147" s="3"/>
      <c r="U147" s="3"/>
      <c r="V147" s="3"/>
    </row>
    <row r="148" spans="1:22" s="10" customFormat="1" ht="45.75" x14ac:dyDescent="0.25">
      <c r="A148" s="402"/>
      <c r="B148" s="393"/>
      <c r="C148" s="393"/>
      <c r="D148" s="61">
        <v>755</v>
      </c>
      <c r="E148" s="99" t="s">
        <v>16</v>
      </c>
      <c r="F148" s="61">
        <v>1141003</v>
      </c>
      <c r="G148" s="318" t="s">
        <v>308</v>
      </c>
      <c r="H148" s="252"/>
      <c r="I148" s="252">
        <f>41893.5-2881.67</f>
        <v>39011.83</v>
      </c>
      <c r="J148" s="252">
        <v>32462.18</v>
      </c>
      <c r="K148" s="252"/>
      <c r="L148" s="252"/>
      <c r="M148" s="252"/>
      <c r="N148" s="252"/>
      <c r="O148" s="252"/>
      <c r="P148" s="395"/>
      <c r="Q148" s="9"/>
      <c r="R148" s="3"/>
      <c r="S148" s="3"/>
      <c r="T148" s="3"/>
      <c r="U148" s="3"/>
      <c r="V148" s="3"/>
    </row>
    <row r="149" spans="1:22" s="10" customFormat="1" ht="46.5" thickBot="1" x14ac:dyDescent="0.3">
      <c r="A149" s="421"/>
      <c r="B149" s="393"/>
      <c r="C149" s="393"/>
      <c r="D149" s="176">
        <v>755</v>
      </c>
      <c r="E149" s="177" t="s">
        <v>16</v>
      </c>
      <c r="F149" s="176">
        <v>1140110030</v>
      </c>
      <c r="G149" s="319" t="s">
        <v>308</v>
      </c>
      <c r="H149" s="255"/>
      <c r="I149" s="255"/>
      <c r="J149" s="255"/>
      <c r="K149" s="255">
        <f>29523.32-3.699</f>
        <v>29519.620999999999</v>
      </c>
      <c r="L149" s="255">
        <v>29523.32</v>
      </c>
      <c r="M149" s="255">
        <v>29523.32</v>
      </c>
      <c r="N149" s="255">
        <v>29523.32</v>
      </c>
      <c r="O149" s="255">
        <v>29523.32</v>
      </c>
      <c r="P149" s="395"/>
      <c r="Q149" s="9"/>
      <c r="R149" s="3"/>
      <c r="S149" s="3"/>
      <c r="T149" s="3"/>
      <c r="U149" s="3"/>
      <c r="V149" s="3"/>
    </row>
    <row r="150" spans="1:22" s="53" customFormat="1" ht="31.5" customHeight="1" x14ac:dyDescent="0.25">
      <c r="A150" s="401" t="s">
        <v>215</v>
      </c>
      <c r="B150" s="400" t="s">
        <v>71</v>
      </c>
      <c r="C150" s="400" t="s">
        <v>22</v>
      </c>
      <c r="D150" s="163">
        <v>755</v>
      </c>
      <c r="E150" s="162" t="s">
        <v>16</v>
      </c>
      <c r="F150" s="162" t="s">
        <v>72</v>
      </c>
      <c r="G150" s="162" t="s">
        <v>17</v>
      </c>
      <c r="H150" s="248">
        <v>2022.9</v>
      </c>
      <c r="I150" s="249"/>
      <c r="J150" s="249"/>
      <c r="K150" s="249"/>
      <c r="L150" s="249"/>
      <c r="M150" s="249"/>
      <c r="N150" s="249"/>
      <c r="O150" s="249"/>
      <c r="P150" s="458">
        <f>SUM(H150:O153)</f>
        <v>5889.7867700000006</v>
      </c>
      <c r="Q150" s="51"/>
      <c r="R150" s="52"/>
      <c r="S150" s="52"/>
      <c r="T150" s="52"/>
      <c r="U150" s="52"/>
      <c r="V150" s="52"/>
    </row>
    <row r="151" spans="1:22" s="53" customFormat="1" ht="28.5" customHeight="1" x14ac:dyDescent="0.25">
      <c r="A151" s="402"/>
      <c r="B151" s="393"/>
      <c r="C151" s="393"/>
      <c r="D151" s="110">
        <v>755</v>
      </c>
      <c r="E151" s="172" t="s">
        <v>16</v>
      </c>
      <c r="F151" s="172" t="s">
        <v>112</v>
      </c>
      <c r="G151" s="190" t="s">
        <v>28</v>
      </c>
      <c r="H151" s="251"/>
      <c r="I151" s="251">
        <v>0</v>
      </c>
      <c r="J151" s="251">
        <f>0+1282.72</f>
        <v>1282.72</v>
      </c>
      <c r="K151" s="251"/>
      <c r="L151" s="251"/>
      <c r="M151" s="251"/>
      <c r="N151" s="251"/>
      <c r="O151" s="251"/>
      <c r="P151" s="462"/>
      <c r="Q151" s="51"/>
      <c r="R151" s="52"/>
      <c r="S151" s="52"/>
      <c r="T151" s="52"/>
      <c r="U151" s="52"/>
      <c r="V151" s="52"/>
    </row>
    <row r="152" spans="1:22" s="53" customFormat="1" ht="28.5" customHeight="1" x14ac:dyDescent="0.25">
      <c r="A152" s="402"/>
      <c r="B152" s="393"/>
      <c r="C152" s="393"/>
      <c r="D152" s="61">
        <v>755</v>
      </c>
      <c r="E152" s="99" t="s">
        <v>16</v>
      </c>
      <c r="F152" s="99" t="s">
        <v>189</v>
      </c>
      <c r="G152" s="240" t="s">
        <v>113</v>
      </c>
      <c r="H152" s="251"/>
      <c r="I152" s="254"/>
      <c r="J152" s="254"/>
      <c r="K152" s="254">
        <f>15.02777+3.699</f>
        <v>18.726770000000002</v>
      </c>
      <c r="L152" s="254"/>
      <c r="M152" s="254"/>
      <c r="N152" s="254"/>
      <c r="O152" s="254"/>
      <c r="P152" s="462"/>
      <c r="Q152" s="51"/>
      <c r="R152" s="52"/>
      <c r="S152" s="52"/>
      <c r="T152" s="52"/>
      <c r="U152" s="52"/>
      <c r="V152" s="52"/>
    </row>
    <row r="153" spans="1:22" s="53" customFormat="1" ht="27" customHeight="1" thickBot="1" x14ac:dyDescent="0.3">
      <c r="A153" s="421"/>
      <c r="B153" s="394"/>
      <c r="C153" s="394"/>
      <c r="D153" s="235">
        <v>755</v>
      </c>
      <c r="E153" s="234" t="s">
        <v>16</v>
      </c>
      <c r="F153" s="234" t="s">
        <v>189</v>
      </c>
      <c r="G153" s="320" t="s">
        <v>28</v>
      </c>
      <c r="H153" s="321"/>
      <c r="I153" s="322"/>
      <c r="J153" s="322"/>
      <c r="K153" s="322">
        <f>0+1282.72</f>
        <v>1282.72</v>
      </c>
      <c r="L153" s="322">
        <f>0+1282.72</f>
        <v>1282.72</v>
      </c>
      <c r="M153" s="322">
        <v>0</v>
      </c>
      <c r="N153" s="322">
        <v>0</v>
      </c>
      <c r="O153" s="322">
        <v>0</v>
      </c>
      <c r="P153" s="459"/>
      <c r="Q153" s="51"/>
      <c r="R153" s="52"/>
      <c r="S153" s="52"/>
      <c r="T153" s="52"/>
      <c r="U153" s="52"/>
      <c r="V153" s="52"/>
    </row>
    <row r="154" spans="1:22" s="10" customFormat="1" ht="72" customHeight="1" thickBot="1" x14ac:dyDescent="0.3">
      <c r="A154" s="149" t="s">
        <v>260</v>
      </c>
      <c r="B154" s="293" t="s">
        <v>259</v>
      </c>
      <c r="C154" s="293" t="s">
        <v>22</v>
      </c>
      <c r="D154" s="235">
        <v>755</v>
      </c>
      <c r="E154" s="234" t="s">
        <v>19</v>
      </c>
      <c r="F154" s="234" t="s">
        <v>261</v>
      </c>
      <c r="G154" s="323" t="s">
        <v>28</v>
      </c>
      <c r="H154" s="298"/>
      <c r="I154" s="298"/>
      <c r="J154" s="298"/>
      <c r="K154" s="298">
        <v>100</v>
      </c>
      <c r="L154" s="298">
        <v>100</v>
      </c>
      <c r="M154" s="298">
        <v>100</v>
      </c>
      <c r="N154" s="298">
        <v>100</v>
      </c>
      <c r="O154" s="298">
        <v>100</v>
      </c>
      <c r="P154" s="298">
        <f>SUM(H154:O154)</f>
        <v>500</v>
      </c>
      <c r="Q154" s="9"/>
      <c r="R154" s="3"/>
      <c r="S154" s="3"/>
      <c r="T154" s="3"/>
      <c r="U154" s="3"/>
      <c r="V154" s="3"/>
    </row>
    <row r="155" spans="1:22" s="10" customFormat="1" ht="72" customHeight="1" thickBot="1" x14ac:dyDescent="0.3">
      <c r="A155" s="149" t="s">
        <v>350</v>
      </c>
      <c r="B155" s="293" t="s">
        <v>356</v>
      </c>
      <c r="C155" s="293" t="s">
        <v>22</v>
      </c>
      <c r="D155" s="235">
        <v>755</v>
      </c>
      <c r="E155" s="234" t="s">
        <v>19</v>
      </c>
      <c r="F155" s="234" t="s">
        <v>357</v>
      </c>
      <c r="G155" s="323" t="s">
        <v>28</v>
      </c>
      <c r="H155" s="298"/>
      <c r="I155" s="298"/>
      <c r="J155" s="298"/>
      <c r="K155" s="298">
        <v>1500</v>
      </c>
      <c r="L155" s="298"/>
      <c r="M155" s="298"/>
      <c r="N155" s="298"/>
      <c r="O155" s="298"/>
      <c r="P155" s="298">
        <f>SUM(H155:O155)</f>
        <v>1500</v>
      </c>
      <c r="Q155" s="9"/>
      <c r="R155" s="3"/>
      <c r="S155" s="3"/>
      <c r="T155" s="3"/>
      <c r="U155" s="3"/>
      <c r="V155" s="3"/>
    </row>
    <row r="156" spans="1:22" s="13" customFormat="1" ht="24" customHeight="1" thickBot="1" x14ac:dyDescent="0.25">
      <c r="A156" s="401" t="s">
        <v>3</v>
      </c>
      <c r="B156" s="412" t="s">
        <v>302</v>
      </c>
      <c r="C156" s="202" t="s">
        <v>27</v>
      </c>
      <c r="D156" s="202" t="s">
        <v>294</v>
      </c>
      <c r="E156" s="139" t="s">
        <v>294</v>
      </c>
      <c r="F156" s="139" t="s">
        <v>294</v>
      </c>
      <c r="G156" s="139" t="s">
        <v>294</v>
      </c>
      <c r="H156" s="157">
        <f>SUM(H157:H158)</f>
        <v>0</v>
      </c>
      <c r="I156" s="157">
        <f t="shared" ref="I156:J156" si="49">SUM(I157:I158)</f>
        <v>3572.78</v>
      </c>
      <c r="J156" s="157">
        <f t="shared" si="49"/>
        <v>149728.48687999998</v>
      </c>
      <c r="K156" s="157">
        <f t="shared" ref="K156:O156" si="50">K159</f>
        <v>159046.10123000003</v>
      </c>
      <c r="L156" s="157">
        <f t="shared" si="50"/>
        <v>135295.97</v>
      </c>
      <c r="M156" s="157">
        <f t="shared" si="50"/>
        <v>135295.97</v>
      </c>
      <c r="N156" s="157">
        <f t="shared" si="50"/>
        <v>135295.97</v>
      </c>
      <c r="O156" s="157">
        <f t="shared" si="50"/>
        <v>135295.97</v>
      </c>
      <c r="P156" s="157">
        <f>SUM(H156:O156)</f>
        <v>853531.24810999993</v>
      </c>
      <c r="Q156" s="9"/>
      <c r="R156" s="3"/>
      <c r="S156" s="3"/>
      <c r="T156" s="3"/>
      <c r="U156" s="3"/>
      <c r="V156" s="3"/>
    </row>
    <row r="157" spans="1:22" s="13" customFormat="1" ht="42" customHeight="1" x14ac:dyDescent="0.2">
      <c r="A157" s="402"/>
      <c r="B157" s="413"/>
      <c r="C157" s="473" t="s">
        <v>22</v>
      </c>
      <c r="D157" s="151" t="s">
        <v>35</v>
      </c>
      <c r="E157" s="261" t="s">
        <v>294</v>
      </c>
      <c r="F157" s="260" t="s">
        <v>294</v>
      </c>
      <c r="G157" s="261" t="s">
        <v>294</v>
      </c>
      <c r="H157" s="158">
        <f>SUM(H160:H163)</f>
        <v>0</v>
      </c>
      <c r="I157" s="158">
        <f>SUM(I160:I163)</f>
        <v>3572.78</v>
      </c>
      <c r="J157" s="158">
        <f>SUM(J160:J163)</f>
        <v>149728.48687999998</v>
      </c>
      <c r="K157" s="158"/>
      <c r="L157" s="158"/>
      <c r="M157" s="158"/>
      <c r="N157" s="158"/>
      <c r="O157" s="158"/>
      <c r="P157" s="456">
        <f>SUM(H157:O158)</f>
        <v>853531.24810999993</v>
      </c>
      <c r="Q157" s="9"/>
      <c r="R157" s="3"/>
      <c r="S157" s="3"/>
      <c r="T157" s="3"/>
      <c r="U157" s="3"/>
      <c r="V157" s="3"/>
    </row>
    <row r="158" spans="1:22" s="13" customFormat="1" ht="42" customHeight="1" thickBot="1" x14ac:dyDescent="0.3">
      <c r="A158" s="421"/>
      <c r="B158" s="414"/>
      <c r="C158" s="474"/>
      <c r="D158" s="187" t="s">
        <v>35</v>
      </c>
      <c r="E158" s="231" t="s">
        <v>294</v>
      </c>
      <c r="F158" s="188">
        <v>1140200000</v>
      </c>
      <c r="G158" s="231" t="s">
        <v>294</v>
      </c>
      <c r="H158" s="154"/>
      <c r="I158" s="154"/>
      <c r="J158" s="154"/>
      <c r="K158" s="155">
        <f t="shared" ref="K158:O158" si="51">SUM(K160:K163)</f>
        <v>159046.10123000003</v>
      </c>
      <c r="L158" s="155">
        <f t="shared" si="51"/>
        <v>135295.97</v>
      </c>
      <c r="M158" s="155">
        <f t="shared" si="51"/>
        <v>135295.97</v>
      </c>
      <c r="N158" s="155">
        <f t="shared" si="51"/>
        <v>135295.97</v>
      </c>
      <c r="O158" s="155">
        <f t="shared" si="51"/>
        <v>135295.97</v>
      </c>
      <c r="P158" s="457"/>
      <c r="Q158" s="9"/>
      <c r="R158" s="3"/>
      <c r="S158" s="3"/>
      <c r="T158" s="3"/>
      <c r="U158" s="3"/>
      <c r="V158" s="3"/>
    </row>
    <row r="159" spans="1:22" s="10" customFormat="1" ht="149.25" customHeight="1" thickBot="1" x14ac:dyDescent="0.3">
      <c r="A159" s="202" t="s">
        <v>216</v>
      </c>
      <c r="B159" s="232" t="s">
        <v>312</v>
      </c>
      <c r="C159" s="141" t="s">
        <v>22</v>
      </c>
      <c r="D159" s="160">
        <v>755</v>
      </c>
      <c r="E159" s="142" t="s">
        <v>294</v>
      </c>
      <c r="F159" s="160" t="s">
        <v>294</v>
      </c>
      <c r="G159" s="142" t="s">
        <v>294</v>
      </c>
      <c r="H159" s="143">
        <f>SUM(H160:H163)</f>
        <v>0</v>
      </c>
      <c r="I159" s="143">
        <f t="shared" ref="I159:O159" si="52">SUM(I160:I163)</f>
        <v>3572.78</v>
      </c>
      <c r="J159" s="143">
        <f t="shared" si="52"/>
        <v>149728.48687999998</v>
      </c>
      <c r="K159" s="143">
        <f t="shared" si="52"/>
        <v>159046.10123000003</v>
      </c>
      <c r="L159" s="143">
        <f t="shared" si="52"/>
        <v>135295.97</v>
      </c>
      <c r="M159" s="143">
        <f t="shared" si="52"/>
        <v>135295.97</v>
      </c>
      <c r="N159" s="143">
        <f t="shared" si="52"/>
        <v>135295.97</v>
      </c>
      <c r="O159" s="143">
        <f t="shared" si="52"/>
        <v>135295.97</v>
      </c>
      <c r="P159" s="143">
        <f>SUM(H159:O159)</f>
        <v>853531.24810999993</v>
      </c>
      <c r="Q159" s="9"/>
      <c r="R159" s="3"/>
      <c r="S159" s="3"/>
      <c r="T159" s="3"/>
      <c r="U159" s="3"/>
      <c r="V159" s="3"/>
    </row>
    <row r="160" spans="1:22" s="10" customFormat="1" ht="54" customHeight="1" x14ac:dyDescent="0.25">
      <c r="A160" s="402" t="s">
        <v>217</v>
      </c>
      <c r="B160" s="393" t="s">
        <v>391</v>
      </c>
      <c r="C160" s="400" t="s">
        <v>22</v>
      </c>
      <c r="D160" s="110">
        <v>755</v>
      </c>
      <c r="E160" s="172" t="s">
        <v>19</v>
      </c>
      <c r="F160" s="172" t="s">
        <v>102</v>
      </c>
      <c r="G160" s="190" t="s">
        <v>78</v>
      </c>
      <c r="H160" s="148">
        <v>0</v>
      </c>
      <c r="I160" s="148">
        <v>3522.78</v>
      </c>
      <c r="J160" s="148">
        <f>57638.33+97300-1282.72-19675.2+7302.04644-9449.07152-238.89434-2186.53208-456.9356-1655.47602-925.05+158+5000-0.01</f>
        <v>131528.48687999998</v>
      </c>
      <c r="K160" s="175"/>
      <c r="L160" s="175"/>
      <c r="M160" s="175"/>
      <c r="N160" s="175"/>
      <c r="O160" s="175"/>
      <c r="P160" s="462">
        <f>SUM(H160:O161)</f>
        <v>822781.24810999993</v>
      </c>
      <c r="Q160" s="9"/>
      <c r="R160" s="3"/>
      <c r="S160" s="3"/>
      <c r="T160" s="3"/>
      <c r="U160" s="3"/>
      <c r="V160" s="3"/>
    </row>
    <row r="161" spans="1:22" s="10" customFormat="1" ht="51" customHeight="1" thickBot="1" x14ac:dyDescent="0.3">
      <c r="A161" s="402"/>
      <c r="B161" s="393"/>
      <c r="C161" s="394"/>
      <c r="D161" s="324">
        <v>755</v>
      </c>
      <c r="E161" s="145" t="s">
        <v>19</v>
      </c>
      <c r="F161" s="145" t="s">
        <v>190</v>
      </c>
      <c r="G161" s="325" t="s">
        <v>78</v>
      </c>
      <c r="H161" s="285"/>
      <c r="I161" s="285"/>
      <c r="J161" s="285"/>
      <c r="K161" s="285">
        <f>193964.16-44387.46-2834.721-15.02777+158-1500+700+461.15</f>
        <v>146546.10123000003</v>
      </c>
      <c r="L161" s="285">
        <v>135295.97</v>
      </c>
      <c r="M161" s="285">
        <v>135295.97</v>
      </c>
      <c r="N161" s="285">
        <v>135295.97</v>
      </c>
      <c r="O161" s="285">
        <v>135295.97</v>
      </c>
      <c r="P161" s="462"/>
      <c r="Q161" s="9"/>
      <c r="R161" s="3"/>
      <c r="S161" s="3"/>
      <c r="T161" s="3"/>
      <c r="U161" s="3"/>
      <c r="V161" s="3"/>
    </row>
    <row r="162" spans="1:22" s="10" customFormat="1" ht="58.5" customHeight="1" x14ac:dyDescent="0.25">
      <c r="A162" s="401" t="s">
        <v>218</v>
      </c>
      <c r="B162" s="400" t="s">
        <v>390</v>
      </c>
      <c r="C162" s="502" t="s">
        <v>22</v>
      </c>
      <c r="D162" s="163">
        <v>755</v>
      </c>
      <c r="E162" s="162" t="s">
        <v>19</v>
      </c>
      <c r="F162" s="162" t="s">
        <v>103</v>
      </c>
      <c r="G162" s="164" t="s">
        <v>65</v>
      </c>
      <c r="H162" s="248">
        <v>0</v>
      </c>
      <c r="I162" s="248">
        <v>50</v>
      </c>
      <c r="J162" s="248">
        <f>500+2700+15000</f>
        <v>18200</v>
      </c>
      <c r="K162" s="249"/>
      <c r="L162" s="249"/>
      <c r="M162" s="249"/>
      <c r="N162" s="249"/>
      <c r="O162" s="249"/>
      <c r="P162" s="458">
        <f>SUM(H162:O163)</f>
        <v>30750</v>
      </c>
      <c r="Q162" s="9"/>
      <c r="R162" s="3"/>
      <c r="S162" s="3"/>
      <c r="T162" s="3"/>
      <c r="U162" s="3"/>
      <c r="V162" s="3"/>
    </row>
    <row r="163" spans="1:22" s="10" customFormat="1" ht="52.5" customHeight="1" thickBot="1" x14ac:dyDescent="0.3">
      <c r="A163" s="421"/>
      <c r="B163" s="394"/>
      <c r="C163" s="503"/>
      <c r="D163" s="235">
        <v>755</v>
      </c>
      <c r="E163" s="234" t="s">
        <v>19</v>
      </c>
      <c r="F163" s="234" t="s">
        <v>191</v>
      </c>
      <c r="G163" s="320" t="s">
        <v>65</v>
      </c>
      <c r="H163" s="322"/>
      <c r="I163" s="322"/>
      <c r="J163" s="322"/>
      <c r="K163" s="322">
        <v>12500</v>
      </c>
      <c r="L163" s="322">
        <v>0</v>
      </c>
      <c r="M163" s="322">
        <v>0</v>
      </c>
      <c r="N163" s="322">
        <v>0</v>
      </c>
      <c r="O163" s="322">
        <v>0</v>
      </c>
      <c r="P163" s="459"/>
      <c r="Q163" s="9"/>
      <c r="R163" s="3"/>
      <c r="S163" s="3"/>
      <c r="T163" s="3"/>
      <c r="U163" s="3"/>
      <c r="V163" s="3"/>
    </row>
    <row r="164" spans="1:22" s="13" customFormat="1" ht="27" customHeight="1" thickBot="1" x14ac:dyDescent="0.25">
      <c r="A164" s="401" t="s">
        <v>264</v>
      </c>
      <c r="B164" s="412" t="s">
        <v>266</v>
      </c>
      <c r="C164" s="202" t="s">
        <v>27</v>
      </c>
      <c r="D164" s="326" t="s">
        <v>294</v>
      </c>
      <c r="E164" s="220" t="s">
        <v>294</v>
      </c>
      <c r="F164" s="220" t="s">
        <v>294</v>
      </c>
      <c r="G164" s="327" t="s">
        <v>294</v>
      </c>
      <c r="H164" s="316">
        <f t="shared" ref="H164" si="53">H174</f>
        <v>30400</v>
      </c>
      <c r="I164" s="316">
        <f>I175</f>
        <v>8384.1</v>
      </c>
      <c r="J164" s="316">
        <f>J175</f>
        <v>5565.64</v>
      </c>
      <c r="K164" s="316">
        <f>K171+K177+K189</f>
        <v>45000</v>
      </c>
      <c r="L164" s="316">
        <f>L171+L177+L189</f>
        <v>0</v>
      </c>
      <c r="M164" s="316">
        <f>M171+M177+M189</f>
        <v>0</v>
      </c>
      <c r="N164" s="316">
        <f>N171+N177+N189</f>
        <v>0</v>
      </c>
      <c r="O164" s="316">
        <f>O171+O177+O189</f>
        <v>0</v>
      </c>
      <c r="P164" s="316">
        <f>SUM(H164:O164)</f>
        <v>89349.739999999991</v>
      </c>
      <c r="Q164" s="9"/>
      <c r="R164" s="3"/>
      <c r="S164" s="3"/>
      <c r="T164" s="3"/>
      <c r="U164" s="3"/>
      <c r="V164" s="3"/>
    </row>
    <row r="165" spans="1:22" s="13" customFormat="1" ht="71.25" customHeight="1" thickBot="1" x14ac:dyDescent="0.25">
      <c r="A165" s="402"/>
      <c r="B165" s="413"/>
      <c r="C165" s="226" t="s">
        <v>158</v>
      </c>
      <c r="D165" s="202">
        <v>755</v>
      </c>
      <c r="E165" s="139" t="s">
        <v>294</v>
      </c>
      <c r="F165" s="139" t="s">
        <v>289</v>
      </c>
      <c r="G165" s="139" t="s">
        <v>294</v>
      </c>
      <c r="H165" s="328"/>
      <c r="I165" s="328"/>
      <c r="J165" s="328"/>
      <c r="K165" s="157">
        <f>K178+K189</f>
        <v>0</v>
      </c>
      <c r="L165" s="157">
        <f t="shared" ref="L165:O165" si="54">L178+L189</f>
        <v>0</v>
      </c>
      <c r="M165" s="157">
        <f t="shared" si="54"/>
        <v>0</v>
      </c>
      <c r="N165" s="157">
        <f t="shared" si="54"/>
        <v>0</v>
      </c>
      <c r="O165" s="157">
        <f t="shared" si="54"/>
        <v>0</v>
      </c>
      <c r="P165" s="157">
        <f>SUM(K165:O165)</f>
        <v>0</v>
      </c>
      <c r="Q165" s="9"/>
      <c r="R165" s="3"/>
      <c r="S165" s="3"/>
      <c r="T165" s="3"/>
      <c r="U165" s="3"/>
      <c r="V165" s="3"/>
    </row>
    <row r="166" spans="1:22" s="13" customFormat="1" ht="78.75" customHeight="1" thickBot="1" x14ac:dyDescent="0.25">
      <c r="A166" s="402"/>
      <c r="B166" s="413"/>
      <c r="C166" s="226" t="s">
        <v>169</v>
      </c>
      <c r="D166" s="202">
        <v>758</v>
      </c>
      <c r="E166" s="139" t="s">
        <v>294</v>
      </c>
      <c r="F166" s="139" t="s">
        <v>289</v>
      </c>
      <c r="G166" s="139" t="s">
        <v>294</v>
      </c>
      <c r="H166" s="157"/>
      <c r="I166" s="157"/>
      <c r="J166" s="157"/>
      <c r="K166" s="157">
        <f>K179</f>
        <v>0</v>
      </c>
      <c r="L166" s="157">
        <f t="shared" ref="L166:O166" si="55">L179</f>
        <v>0</v>
      </c>
      <c r="M166" s="157">
        <f t="shared" si="55"/>
        <v>0</v>
      </c>
      <c r="N166" s="157">
        <f t="shared" si="55"/>
        <v>0</v>
      </c>
      <c r="O166" s="157">
        <f t="shared" si="55"/>
        <v>0</v>
      </c>
      <c r="P166" s="157">
        <f>SUM(K166:O166)</f>
        <v>0</v>
      </c>
      <c r="Q166" s="9"/>
      <c r="R166" s="3"/>
      <c r="S166" s="3"/>
      <c r="T166" s="3"/>
      <c r="U166" s="3"/>
      <c r="V166" s="3"/>
    </row>
    <row r="167" spans="1:22" s="13" customFormat="1" ht="58.5" customHeight="1" thickBot="1" x14ac:dyDescent="0.25">
      <c r="A167" s="402"/>
      <c r="B167" s="413"/>
      <c r="C167" s="226" t="s">
        <v>151</v>
      </c>
      <c r="D167" s="202">
        <v>763</v>
      </c>
      <c r="E167" s="139" t="s">
        <v>294</v>
      </c>
      <c r="F167" s="139" t="s">
        <v>289</v>
      </c>
      <c r="G167" s="139" t="s">
        <v>294</v>
      </c>
      <c r="H167" s="157"/>
      <c r="I167" s="157"/>
      <c r="J167" s="157"/>
      <c r="K167" s="157">
        <f>K180</f>
        <v>0</v>
      </c>
      <c r="L167" s="157">
        <f t="shared" ref="L167:O168" si="56">L180</f>
        <v>0</v>
      </c>
      <c r="M167" s="157">
        <f t="shared" si="56"/>
        <v>0</v>
      </c>
      <c r="N167" s="157">
        <f t="shared" si="56"/>
        <v>0</v>
      </c>
      <c r="O167" s="157">
        <f t="shared" si="56"/>
        <v>0</v>
      </c>
      <c r="P167" s="157">
        <f>SUM(K167:O167)</f>
        <v>0</v>
      </c>
      <c r="Q167" s="9"/>
      <c r="R167" s="3"/>
      <c r="S167" s="3"/>
      <c r="T167" s="3"/>
      <c r="U167" s="3"/>
      <c r="V167" s="3"/>
    </row>
    <row r="168" spans="1:22" s="13" customFormat="1" ht="58.5" customHeight="1" thickBot="1" x14ac:dyDescent="0.25">
      <c r="A168" s="402"/>
      <c r="B168" s="413"/>
      <c r="C168" s="226" t="s">
        <v>354</v>
      </c>
      <c r="D168" s="202">
        <v>775</v>
      </c>
      <c r="E168" s="139" t="s">
        <v>294</v>
      </c>
      <c r="F168" s="139" t="s">
        <v>289</v>
      </c>
      <c r="G168" s="139" t="s">
        <v>294</v>
      </c>
      <c r="H168" s="157"/>
      <c r="I168" s="157"/>
      <c r="J168" s="157"/>
      <c r="K168" s="157">
        <f>K181</f>
        <v>45000</v>
      </c>
      <c r="L168" s="157">
        <f t="shared" si="56"/>
        <v>0</v>
      </c>
      <c r="M168" s="157">
        <f t="shared" si="56"/>
        <v>0</v>
      </c>
      <c r="N168" s="157">
        <f t="shared" si="56"/>
        <v>0</v>
      </c>
      <c r="O168" s="157">
        <f t="shared" si="56"/>
        <v>0</v>
      </c>
      <c r="P168" s="157">
        <f>SUM(K168:O168)</f>
        <v>45000</v>
      </c>
      <c r="Q168" s="9"/>
      <c r="R168" s="3"/>
      <c r="S168" s="3"/>
      <c r="T168" s="3"/>
      <c r="U168" s="3"/>
      <c r="V168" s="3"/>
    </row>
    <row r="169" spans="1:22" s="13" customFormat="1" ht="46.5" customHeight="1" x14ac:dyDescent="0.2">
      <c r="A169" s="402"/>
      <c r="B169" s="413"/>
      <c r="C169" s="412" t="s">
        <v>66</v>
      </c>
      <c r="D169" s="209">
        <v>779</v>
      </c>
      <c r="E169" s="210" t="s">
        <v>294</v>
      </c>
      <c r="F169" s="210" t="s">
        <v>294</v>
      </c>
      <c r="G169" s="210" t="s">
        <v>294</v>
      </c>
      <c r="H169" s="306">
        <f>H172</f>
        <v>30400</v>
      </c>
      <c r="I169" s="306">
        <f>I172</f>
        <v>8384.1</v>
      </c>
      <c r="J169" s="306">
        <f>J172</f>
        <v>5565.64</v>
      </c>
      <c r="K169" s="306"/>
      <c r="L169" s="306"/>
      <c r="M169" s="306"/>
      <c r="N169" s="306"/>
      <c r="O169" s="306"/>
      <c r="P169" s="456">
        <f>SUM(H169:O170)</f>
        <v>44349.74</v>
      </c>
      <c r="Q169" s="9"/>
      <c r="R169" s="3"/>
      <c r="S169" s="3"/>
      <c r="T169" s="3"/>
      <c r="U169" s="3"/>
      <c r="V169" s="3"/>
    </row>
    <row r="170" spans="1:22" s="13" customFormat="1" ht="41.25" customHeight="1" thickBot="1" x14ac:dyDescent="0.3">
      <c r="A170" s="402"/>
      <c r="B170" s="413"/>
      <c r="C170" s="414"/>
      <c r="D170" s="263">
        <v>779</v>
      </c>
      <c r="E170" s="187" t="s">
        <v>294</v>
      </c>
      <c r="F170" s="187" t="s">
        <v>289</v>
      </c>
      <c r="G170" s="187" t="s">
        <v>294</v>
      </c>
      <c r="H170" s="154"/>
      <c r="I170" s="154"/>
      <c r="J170" s="154"/>
      <c r="K170" s="155">
        <f t="shared" ref="K170:O170" si="57">K171</f>
        <v>0</v>
      </c>
      <c r="L170" s="155">
        <f t="shared" si="57"/>
        <v>0</v>
      </c>
      <c r="M170" s="155">
        <f t="shared" si="57"/>
        <v>0</v>
      </c>
      <c r="N170" s="155">
        <f t="shared" si="57"/>
        <v>0</v>
      </c>
      <c r="O170" s="155">
        <f t="shared" si="57"/>
        <v>0</v>
      </c>
      <c r="P170" s="457"/>
      <c r="Q170" s="9"/>
      <c r="R170" s="3"/>
      <c r="S170" s="3"/>
      <c r="T170" s="3"/>
      <c r="U170" s="3"/>
      <c r="V170" s="3"/>
    </row>
    <row r="171" spans="1:22" s="13" customFormat="1" ht="21" customHeight="1" thickBot="1" x14ac:dyDescent="0.25">
      <c r="A171" s="401" t="s">
        <v>133</v>
      </c>
      <c r="B171" s="412" t="s">
        <v>303</v>
      </c>
      <c r="C171" s="202" t="s">
        <v>27</v>
      </c>
      <c r="D171" s="202" t="s">
        <v>294</v>
      </c>
      <c r="E171" s="139" t="s">
        <v>294</v>
      </c>
      <c r="F171" s="139" t="s">
        <v>294</v>
      </c>
      <c r="G171" s="228" t="s">
        <v>294</v>
      </c>
      <c r="H171" s="157">
        <f>SUM(H172:H173)</f>
        <v>30400</v>
      </c>
      <c r="I171" s="157">
        <f t="shared" ref="I171:J171" si="58">SUM(I172:I173)</f>
        <v>8384.1</v>
      </c>
      <c r="J171" s="157">
        <f t="shared" si="58"/>
        <v>5565.64</v>
      </c>
      <c r="K171" s="157">
        <f t="shared" ref="K171:O171" si="59">SUM(K174:K176)</f>
        <v>0</v>
      </c>
      <c r="L171" s="157">
        <f t="shared" si="59"/>
        <v>0</v>
      </c>
      <c r="M171" s="157">
        <f t="shared" si="59"/>
        <v>0</v>
      </c>
      <c r="N171" s="157">
        <f t="shared" si="59"/>
        <v>0</v>
      </c>
      <c r="O171" s="157">
        <f t="shared" si="59"/>
        <v>0</v>
      </c>
      <c r="P171" s="157">
        <f t="shared" ref="P171" si="60">P174</f>
        <v>44349.74</v>
      </c>
      <c r="Q171" s="9"/>
      <c r="R171" s="3"/>
      <c r="S171" s="3"/>
      <c r="T171" s="3"/>
      <c r="U171" s="3"/>
      <c r="V171" s="3"/>
    </row>
    <row r="172" spans="1:22" s="13" customFormat="1" ht="21" customHeight="1" x14ac:dyDescent="0.2">
      <c r="A172" s="402"/>
      <c r="B172" s="413"/>
      <c r="C172" s="412" t="s">
        <v>66</v>
      </c>
      <c r="D172" s="222">
        <v>779</v>
      </c>
      <c r="E172" s="151" t="s">
        <v>294</v>
      </c>
      <c r="F172" s="151" t="s">
        <v>294</v>
      </c>
      <c r="G172" s="151" t="s">
        <v>294</v>
      </c>
      <c r="H172" s="158">
        <f>SUM(H174:H176)</f>
        <v>30400</v>
      </c>
      <c r="I172" s="158">
        <f>SUM(I174:I176)</f>
        <v>8384.1</v>
      </c>
      <c r="J172" s="158">
        <f>SUM(J174:J176)</f>
        <v>5565.64</v>
      </c>
      <c r="K172" s="158"/>
      <c r="L172" s="158"/>
      <c r="M172" s="158"/>
      <c r="N172" s="158"/>
      <c r="O172" s="158"/>
      <c r="P172" s="456">
        <f>SUM(H172:O173)</f>
        <v>44349.74</v>
      </c>
      <c r="Q172" s="9"/>
      <c r="R172" s="3"/>
      <c r="S172" s="3"/>
      <c r="T172" s="3"/>
      <c r="U172" s="3"/>
      <c r="V172" s="3"/>
    </row>
    <row r="173" spans="1:22" s="13" customFormat="1" ht="54" customHeight="1" thickBot="1" x14ac:dyDescent="0.3">
      <c r="A173" s="421"/>
      <c r="B173" s="414"/>
      <c r="C173" s="414"/>
      <c r="D173" s="188">
        <v>779</v>
      </c>
      <c r="E173" s="187" t="s">
        <v>294</v>
      </c>
      <c r="F173" s="187" t="s">
        <v>288</v>
      </c>
      <c r="G173" s="187" t="s">
        <v>294</v>
      </c>
      <c r="H173" s="154"/>
      <c r="I173" s="154"/>
      <c r="J173" s="154"/>
      <c r="K173" s="155">
        <f t="shared" ref="K173:O173" si="61">SUM(K174:K176)</f>
        <v>0</v>
      </c>
      <c r="L173" s="155">
        <f t="shared" si="61"/>
        <v>0</v>
      </c>
      <c r="M173" s="155">
        <f t="shared" si="61"/>
        <v>0</v>
      </c>
      <c r="N173" s="155">
        <f t="shared" si="61"/>
        <v>0</v>
      </c>
      <c r="O173" s="155">
        <f t="shared" si="61"/>
        <v>0</v>
      </c>
      <c r="P173" s="457"/>
      <c r="Q173" s="9"/>
      <c r="R173" s="3"/>
      <c r="S173" s="3"/>
      <c r="T173" s="3"/>
      <c r="U173" s="3"/>
      <c r="V173" s="3"/>
    </row>
    <row r="174" spans="1:22" s="10" customFormat="1" ht="21" customHeight="1" x14ac:dyDescent="0.25">
      <c r="A174" s="401" t="s">
        <v>219</v>
      </c>
      <c r="B174" s="400" t="s">
        <v>149</v>
      </c>
      <c r="C174" s="469" t="s">
        <v>66</v>
      </c>
      <c r="D174" s="163">
        <v>779</v>
      </c>
      <c r="E174" s="162" t="s">
        <v>18</v>
      </c>
      <c r="F174" s="162" t="s">
        <v>34</v>
      </c>
      <c r="G174" s="162" t="s">
        <v>17</v>
      </c>
      <c r="H174" s="248">
        <v>30400</v>
      </c>
      <c r="I174" s="249"/>
      <c r="J174" s="249"/>
      <c r="K174" s="249"/>
      <c r="L174" s="249"/>
      <c r="M174" s="249"/>
      <c r="N174" s="249"/>
      <c r="O174" s="249"/>
      <c r="P174" s="499">
        <f>SUM(H174:O176)</f>
        <v>44349.74</v>
      </c>
      <c r="Q174" s="9"/>
      <c r="R174" s="3"/>
      <c r="S174" s="3"/>
      <c r="T174" s="3"/>
      <c r="U174" s="3"/>
      <c r="V174" s="3"/>
    </row>
    <row r="175" spans="1:22" s="10" customFormat="1" ht="21" customHeight="1" x14ac:dyDescent="0.25">
      <c r="A175" s="402"/>
      <c r="B175" s="393"/>
      <c r="C175" s="470"/>
      <c r="D175" s="61">
        <v>779</v>
      </c>
      <c r="E175" s="99" t="s">
        <v>18</v>
      </c>
      <c r="F175" s="99" t="s">
        <v>243</v>
      </c>
      <c r="G175" s="99" t="s">
        <v>28</v>
      </c>
      <c r="H175" s="251"/>
      <c r="I175" s="251">
        <v>8384.1</v>
      </c>
      <c r="J175" s="251">
        <f>5700-134.36</f>
        <v>5565.64</v>
      </c>
      <c r="K175" s="251"/>
      <c r="L175" s="251"/>
      <c r="M175" s="251"/>
      <c r="N175" s="251"/>
      <c r="O175" s="251"/>
      <c r="P175" s="500"/>
      <c r="Q175" s="9"/>
      <c r="R175" s="3"/>
      <c r="S175" s="3"/>
      <c r="T175" s="3"/>
      <c r="U175" s="3"/>
      <c r="V175" s="3"/>
    </row>
    <row r="176" spans="1:22" s="10" customFormat="1" ht="35.25" customHeight="1" thickBot="1" x14ac:dyDescent="0.3">
      <c r="A176" s="421"/>
      <c r="B176" s="394"/>
      <c r="C176" s="471"/>
      <c r="D176" s="169">
        <v>779</v>
      </c>
      <c r="E176" s="182" t="s">
        <v>18</v>
      </c>
      <c r="F176" s="182" t="s">
        <v>179</v>
      </c>
      <c r="G176" s="182" t="s">
        <v>28</v>
      </c>
      <c r="H176" s="322"/>
      <c r="I176" s="322"/>
      <c r="J176" s="322"/>
      <c r="K176" s="322">
        <v>0</v>
      </c>
      <c r="L176" s="322">
        <v>0</v>
      </c>
      <c r="M176" s="322">
        <v>0</v>
      </c>
      <c r="N176" s="322">
        <v>0</v>
      </c>
      <c r="O176" s="322">
        <v>0</v>
      </c>
      <c r="P176" s="501"/>
      <c r="Q176" s="9"/>
      <c r="R176" s="3"/>
      <c r="S176" s="3"/>
      <c r="T176" s="3"/>
      <c r="U176" s="3"/>
      <c r="V176" s="3"/>
    </row>
    <row r="177" spans="1:22" s="13" customFormat="1" ht="21" customHeight="1" thickBot="1" x14ac:dyDescent="0.25">
      <c r="A177" s="401" t="s">
        <v>134</v>
      </c>
      <c r="B177" s="412" t="s">
        <v>359</v>
      </c>
      <c r="C177" s="202" t="s">
        <v>27</v>
      </c>
      <c r="D177" s="202" t="s">
        <v>294</v>
      </c>
      <c r="E177" s="139" t="s">
        <v>294</v>
      </c>
      <c r="F177" s="139" t="s">
        <v>294</v>
      </c>
      <c r="G177" s="228" t="s">
        <v>294</v>
      </c>
      <c r="H177" s="329" t="s">
        <v>294</v>
      </c>
      <c r="I177" s="329" t="s">
        <v>294</v>
      </c>
      <c r="J177" s="329" t="s">
        <v>294</v>
      </c>
      <c r="K177" s="157">
        <f>SUM(K178:K181)</f>
        <v>45000</v>
      </c>
      <c r="L177" s="157">
        <f t="shared" ref="L177:O177" si="62">SUM(L178:L181)</f>
        <v>0</v>
      </c>
      <c r="M177" s="157">
        <f t="shared" si="62"/>
        <v>0</v>
      </c>
      <c r="N177" s="157">
        <f t="shared" si="62"/>
        <v>0</v>
      </c>
      <c r="O177" s="157">
        <f t="shared" si="62"/>
        <v>0</v>
      </c>
      <c r="P177" s="157">
        <f>SUM(K177:O177)</f>
        <v>45000</v>
      </c>
      <c r="Q177" s="9"/>
      <c r="R177" s="3"/>
      <c r="S177" s="3"/>
      <c r="T177" s="3"/>
      <c r="U177" s="3"/>
      <c r="V177" s="3"/>
    </row>
    <row r="178" spans="1:22" s="13" customFormat="1" ht="72" customHeight="1" x14ac:dyDescent="0.2">
      <c r="A178" s="402"/>
      <c r="B178" s="413"/>
      <c r="C178" s="330" t="s">
        <v>158</v>
      </c>
      <c r="D178" s="27">
        <v>755</v>
      </c>
      <c r="E178" s="301" t="s">
        <v>19</v>
      </c>
      <c r="F178" s="151" t="s">
        <v>287</v>
      </c>
      <c r="G178" s="331" t="s">
        <v>28</v>
      </c>
      <c r="H178" s="316"/>
      <c r="I178" s="316"/>
      <c r="J178" s="316"/>
      <c r="K178" s="316">
        <f>K184+K188</f>
        <v>0</v>
      </c>
      <c r="L178" s="316">
        <f t="shared" ref="L178:O178" si="63">L184+L188</f>
        <v>0</v>
      </c>
      <c r="M178" s="316">
        <f t="shared" si="63"/>
        <v>0</v>
      </c>
      <c r="N178" s="316">
        <f t="shared" si="63"/>
        <v>0</v>
      </c>
      <c r="O178" s="316">
        <f t="shared" si="63"/>
        <v>0</v>
      </c>
      <c r="P178" s="316">
        <f>SUM(K178:O178)</f>
        <v>0</v>
      </c>
      <c r="Q178" s="9"/>
      <c r="R178" s="3"/>
      <c r="S178" s="3"/>
      <c r="T178" s="3"/>
      <c r="U178" s="3"/>
      <c r="V178" s="3"/>
    </row>
    <row r="179" spans="1:22" s="13" customFormat="1" ht="72" customHeight="1" x14ac:dyDescent="0.2">
      <c r="A179" s="402"/>
      <c r="B179" s="472"/>
      <c r="C179" s="126" t="s">
        <v>169</v>
      </c>
      <c r="D179" s="136">
        <v>758</v>
      </c>
      <c r="E179" s="100" t="s">
        <v>180</v>
      </c>
      <c r="F179" s="100" t="s">
        <v>287</v>
      </c>
      <c r="G179" s="100" t="s">
        <v>28</v>
      </c>
      <c r="H179" s="332"/>
      <c r="I179" s="332"/>
      <c r="J179" s="332"/>
      <c r="K179" s="332">
        <f>K185+K186</f>
        <v>0</v>
      </c>
      <c r="L179" s="332">
        <f t="shared" ref="L179:O179" si="64">L185+L186</f>
        <v>0</v>
      </c>
      <c r="M179" s="332">
        <f t="shared" si="64"/>
        <v>0</v>
      </c>
      <c r="N179" s="332">
        <f t="shared" si="64"/>
        <v>0</v>
      </c>
      <c r="O179" s="332">
        <f t="shared" si="64"/>
        <v>0</v>
      </c>
      <c r="P179" s="332">
        <f>SUM(K179:O179)</f>
        <v>0</v>
      </c>
      <c r="Q179" s="9"/>
      <c r="R179" s="3"/>
      <c r="S179" s="3"/>
      <c r="T179" s="3"/>
      <c r="U179" s="3"/>
      <c r="V179" s="3"/>
    </row>
    <row r="180" spans="1:22" s="13" customFormat="1" ht="72" customHeight="1" x14ac:dyDescent="0.2">
      <c r="A180" s="402"/>
      <c r="B180" s="472"/>
      <c r="C180" s="126" t="s">
        <v>151</v>
      </c>
      <c r="D180" s="136">
        <v>763</v>
      </c>
      <c r="E180" s="100" t="s">
        <v>171</v>
      </c>
      <c r="F180" s="100" t="s">
        <v>287</v>
      </c>
      <c r="G180" s="333" t="s">
        <v>28</v>
      </c>
      <c r="H180" s="306"/>
      <c r="I180" s="306"/>
      <c r="J180" s="306"/>
      <c r="K180" s="306">
        <f>K182+K183</f>
        <v>0</v>
      </c>
      <c r="L180" s="306">
        <f>L182+L183</f>
        <v>0</v>
      </c>
      <c r="M180" s="306">
        <f>M182+M183</f>
        <v>0</v>
      </c>
      <c r="N180" s="306">
        <f>N182+N183</f>
        <v>0</v>
      </c>
      <c r="O180" s="306">
        <f>O182+O183</f>
        <v>0</v>
      </c>
      <c r="P180" s="306">
        <f>SUM(K180:O180)</f>
        <v>0</v>
      </c>
      <c r="Q180" s="9"/>
      <c r="R180" s="3"/>
      <c r="S180" s="3"/>
      <c r="T180" s="3"/>
      <c r="U180" s="3"/>
      <c r="V180" s="3"/>
    </row>
    <row r="181" spans="1:22" s="13" customFormat="1" ht="60" customHeight="1" thickBot="1" x14ac:dyDescent="0.25">
      <c r="A181" s="402"/>
      <c r="B181" s="472"/>
      <c r="C181" s="334" t="s">
        <v>354</v>
      </c>
      <c r="D181" s="209">
        <v>775</v>
      </c>
      <c r="E181" s="210" t="s">
        <v>19</v>
      </c>
      <c r="F181" s="153" t="s">
        <v>287</v>
      </c>
      <c r="G181" s="333" t="s">
        <v>28</v>
      </c>
      <c r="H181" s="306"/>
      <c r="I181" s="306"/>
      <c r="J181" s="306"/>
      <c r="K181" s="335">
        <f>K187</f>
        <v>45000</v>
      </c>
      <c r="L181" s="335">
        <f t="shared" ref="L181:O181" si="65">L187</f>
        <v>0</v>
      </c>
      <c r="M181" s="335">
        <f t="shared" si="65"/>
        <v>0</v>
      </c>
      <c r="N181" s="335">
        <f t="shared" si="65"/>
        <v>0</v>
      </c>
      <c r="O181" s="335">
        <f t="shared" si="65"/>
        <v>0</v>
      </c>
      <c r="P181" s="306">
        <f>SUM(K181:O181)</f>
        <v>45000</v>
      </c>
      <c r="Q181" s="9"/>
      <c r="R181" s="3"/>
      <c r="S181" s="3"/>
      <c r="T181" s="3"/>
      <c r="U181" s="3"/>
      <c r="V181" s="3"/>
    </row>
    <row r="182" spans="1:22" s="10" customFormat="1" ht="73.5" customHeight="1" thickBot="1" x14ac:dyDescent="0.3">
      <c r="A182" s="202" t="s">
        <v>220</v>
      </c>
      <c r="B182" s="336" t="s">
        <v>150</v>
      </c>
      <c r="C182" s="141" t="s">
        <v>151</v>
      </c>
      <c r="D182" s="160">
        <v>763</v>
      </c>
      <c r="E182" s="142" t="s">
        <v>171</v>
      </c>
      <c r="F182" s="142" t="s">
        <v>178</v>
      </c>
      <c r="G182" s="161" t="s">
        <v>28</v>
      </c>
      <c r="H182" s="143"/>
      <c r="I182" s="143"/>
      <c r="J182" s="143"/>
      <c r="K182" s="143">
        <v>0</v>
      </c>
      <c r="L182" s="143">
        <v>0</v>
      </c>
      <c r="M182" s="143">
        <v>0</v>
      </c>
      <c r="N182" s="143">
        <v>0</v>
      </c>
      <c r="O182" s="143">
        <v>0</v>
      </c>
      <c r="P182" s="143">
        <f t="shared" ref="P182:P188" si="66">SUM(K182:O182)</f>
        <v>0</v>
      </c>
      <c r="Q182" s="9"/>
      <c r="R182" s="3"/>
      <c r="S182" s="3"/>
      <c r="T182" s="3"/>
      <c r="U182" s="3"/>
      <c r="V182" s="3"/>
    </row>
    <row r="183" spans="1:22" s="10" customFormat="1" ht="73.5" customHeight="1" thickBot="1" x14ac:dyDescent="0.3">
      <c r="A183" s="202" t="s">
        <v>221</v>
      </c>
      <c r="B183" s="159" t="s">
        <v>152</v>
      </c>
      <c r="C183" s="144" t="s">
        <v>151</v>
      </c>
      <c r="D183" s="324">
        <v>763</v>
      </c>
      <c r="E183" s="145" t="s">
        <v>171</v>
      </c>
      <c r="F183" s="145" t="s">
        <v>177</v>
      </c>
      <c r="G183" s="325" t="s">
        <v>28</v>
      </c>
      <c r="H183" s="148"/>
      <c r="I183" s="148"/>
      <c r="J183" s="148"/>
      <c r="K183" s="148">
        <v>0</v>
      </c>
      <c r="L183" s="148">
        <v>0</v>
      </c>
      <c r="M183" s="148">
        <v>0</v>
      </c>
      <c r="N183" s="148">
        <v>0</v>
      </c>
      <c r="O183" s="148">
        <v>0</v>
      </c>
      <c r="P183" s="148">
        <f t="shared" si="66"/>
        <v>0</v>
      </c>
      <c r="Q183" s="9"/>
      <c r="R183" s="3"/>
      <c r="S183" s="3"/>
      <c r="T183" s="3"/>
      <c r="U183" s="3"/>
      <c r="V183" s="3"/>
    </row>
    <row r="184" spans="1:22" s="10" customFormat="1" ht="73.5" customHeight="1" thickBot="1" x14ac:dyDescent="0.3">
      <c r="A184" s="202" t="s">
        <v>222</v>
      </c>
      <c r="B184" s="336" t="s">
        <v>153</v>
      </c>
      <c r="C184" s="141" t="s">
        <v>158</v>
      </c>
      <c r="D184" s="160">
        <v>755</v>
      </c>
      <c r="E184" s="142" t="s">
        <v>19</v>
      </c>
      <c r="F184" s="142" t="s">
        <v>176</v>
      </c>
      <c r="G184" s="161" t="s">
        <v>28</v>
      </c>
      <c r="H184" s="143"/>
      <c r="I184" s="143"/>
      <c r="J184" s="143"/>
      <c r="K184" s="143">
        <v>0</v>
      </c>
      <c r="L184" s="143">
        <v>0</v>
      </c>
      <c r="M184" s="143">
        <v>0</v>
      </c>
      <c r="N184" s="143">
        <v>0</v>
      </c>
      <c r="O184" s="143">
        <v>0</v>
      </c>
      <c r="P184" s="143">
        <f t="shared" si="66"/>
        <v>0</v>
      </c>
      <c r="Q184" s="9"/>
      <c r="R184" s="3"/>
      <c r="S184" s="3"/>
      <c r="T184" s="3"/>
      <c r="U184" s="3"/>
      <c r="V184" s="3"/>
    </row>
    <row r="185" spans="1:22" s="10" customFormat="1" ht="102.75" customHeight="1" thickBot="1" x14ac:dyDescent="0.3">
      <c r="A185" s="202" t="s">
        <v>223</v>
      </c>
      <c r="B185" s="337" t="s">
        <v>170</v>
      </c>
      <c r="C185" s="141" t="s">
        <v>154</v>
      </c>
      <c r="D185" s="160">
        <v>758</v>
      </c>
      <c r="E185" s="142" t="s">
        <v>180</v>
      </c>
      <c r="F185" s="142" t="s">
        <v>175</v>
      </c>
      <c r="G185" s="161" t="s">
        <v>28</v>
      </c>
      <c r="H185" s="143"/>
      <c r="I185" s="143"/>
      <c r="J185" s="143"/>
      <c r="K185" s="143">
        <v>0</v>
      </c>
      <c r="L185" s="143">
        <v>0</v>
      </c>
      <c r="M185" s="143">
        <v>0</v>
      </c>
      <c r="N185" s="143">
        <v>0</v>
      </c>
      <c r="O185" s="143">
        <v>0</v>
      </c>
      <c r="P185" s="143">
        <f t="shared" si="66"/>
        <v>0</v>
      </c>
      <c r="Q185" s="9"/>
      <c r="R185" s="3"/>
      <c r="S185" s="3"/>
      <c r="T185" s="3"/>
      <c r="U185" s="3"/>
      <c r="V185" s="3"/>
    </row>
    <row r="186" spans="1:22" s="10" customFormat="1" ht="117.75" customHeight="1" thickBot="1" x14ac:dyDescent="0.3">
      <c r="A186" s="202" t="s">
        <v>224</v>
      </c>
      <c r="B186" s="336" t="s">
        <v>155</v>
      </c>
      <c r="C186" s="141" t="s">
        <v>169</v>
      </c>
      <c r="D186" s="160">
        <v>758</v>
      </c>
      <c r="E186" s="142" t="s">
        <v>180</v>
      </c>
      <c r="F186" s="142" t="s">
        <v>173</v>
      </c>
      <c r="G186" s="161" t="s">
        <v>28</v>
      </c>
      <c r="H186" s="143"/>
      <c r="I186" s="143"/>
      <c r="J186" s="143"/>
      <c r="K186" s="143">
        <v>0</v>
      </c>
      <c r="L186" s="143">
        <v>0</v>
      </c>
      <c r="M186" s="143">
        <v>0</v>
      </c>
      <c r="N186" s="143">
        <v>0</v>
      </c>
      <c r="O186" s="143">
        <v>0</v>
      </c>
      <c r="P186" s="143">
        <f t="shared" si="66"/>
        <v>0</v>
      </c>
      <c r="Q186" s="9"/>
      <c r="R186" s="3"/>
      <c r="S186" s="3"/>
      <c r="T186" s="3"/>
      <c r="U186" s="3"/>
      <c r="V186" s="3"/>
    </row>
    <row r="187" spans="1:22" s="10" customFormat="1" ht="73.5" customHeight="1" thickBot="1" x14ac:dyDescent="0.3">
      <c r="A187" s="202" t="s">
        <v>225</v>
      </c>
      <c r="B187" s="336" t="s">
        <v>156</v>
      </c>
      <c r="C187" s="141" t="s">
        <v>353</v>
      </c>
      <c r="D187" s="160">
        <v>775</v>
      </c>
      <c r="E187" s="142" t="s">
        <v>19</v>
      </c>
      <c r="F187" s="142" t="s">
        <v>172</v>
      </c>
      <c r="G187" s="161" t="s">
        <v>28</v>
      </c>
      <c r="H187" s="143"/>
      <c r="I187" s="143"/>
      <c r="J187" s="143"/>
      <c r="K187" s="143">
        <v>45000</v>
      </c>
      <c r="L187" s="143">
        <v>0</v>
      </c>
      <c r="M187" s="143">
        <v>0</v>
      </c>
      <c r="N187" s="143">
        <v>0</v>
      </c>
      <c r="O187" s="143">
        <v>0</v>
      </c>
      <c r="P187" s="143">
        <f t="shared" si="66"/>
        <v>45000</v>
      </c>
      <c r="Q187" s="9"/>
      <c r="R187" s="3"/>
      <c r="S187" s="3"/>
      <c r="T187" s="3"/>
      <c r="U187" s="3"/>
      <c r="V187" s="3"/>
    </row>
    <row r="188" spans="1:22" s="10" customFormat="1" ht="74.25" customHeight="1" thickBot="1" x14ac:dyDescent="0.3">
      <c r="A188" s="202" t="s">
        <v>226</v>
      </c>
      <c r="B188" s="336" t="s">
        <v>157</v>
      </c>
      <c r="C188" s="141" t="s">
        <v>159</v>
      </c>
      <c r="D188" s="160">
        <v>755</v>
      </c>
      <c r="E188" s="142" t="s">
        <v>19</v>
      </c>
      <c r="F188" s="142" t="s">
        <v>255</v>
      </c>
      <c r="G188" s="161" t="s">
        <v>28</v>
      </c>
      <c r="H188" s="143"/>
      <c r="I188" s="143"/>
      <c r="J188" s="143"/>
      <c r="K188" s="143">
        <v>0</v>
      </c>
      <c r="L188" s="143">
        <v>0</v>
      </c>
      <c r="M188" s="143">
        <v>0</v>
      </c>
      <c r="N188" s="143">
        <v>0</v>
      </c>
      <c r="O188" s="143">
        <v>0</v>
      </c>
      <c r="P188" s="143">
        <f t="shared" si="66"/>
        <v>0</v>
      </c>
      <c r="Q188" s="9"/>
      <c r="R188" s="3"/>
      <c r="S188" s="3"/>
      <c r="T188" s="3"/>
      <c r="U188" s="3"/>
      <c r="V188" s="3"/>
    </row>
    <row r="189" spans="1:22" s="13" customFormat="1" ht="23.25" customHeight="1" thickBot="1" x14ac:dyDescent="0.25">
      <c r="A189" s="401" t="s">
        <v>135</v>
      </c>
      <c r="B189" s="412" t="s">
        <v>304</v>
      </c>
      <c r="C189" s="202" t="s">
        <v>27</v>
      </c>
      <c r="D189" s="202">
        <v>755</v>
      </c>
      <c r="E189" s="139" t="s">
        <v>294</v>
      </c>
      <c r="F189" s="139" t="s">
        <v>294</v>
      </c>
      <c r="G189" s="139" t="s">
        <v>294</v>
      </c>
      <c r="H189" s="329" t="s">
        <v>294</v>
      </c>
      <c r="I189" s="329" t="s">
        <v>294</v>
      </c>
      <c r="J189" s="329" t="s">
        <v>294</v>
      </c>
      <c r="K189" s="157">
        <f t="shared" ref="K189:P189" si="67">K191</f>
        <v>0</v>
      </c>
      <c r="L189" s="157">
        <f t="shared" si="67"/>
        <v>0</v>
      </c>
      <c r="M189" s="157">
        <f t="shared" si="67"/>
        <v>0</v>
      </c>
      <c r="N189" s="157">
        <f t="shared" si="67"/>
        <v>0</v>
      </c>
      <c r="O189" s="157">
        <f t="shared" si="67"/>
        <v>0</v>
      </c>
      <c r="P189" s="157">
        <f t="shared" si="67"/>
        <v>0</v>
      </c>
      <c r="Q189" s="9"/>
      <c r="R189" s="3"/>
      <c r="S189" s="3"/>
      <c r="T189" s="3"/>
      <c r="U189" s="3"/>
      <c r="V189" s="3"/>
    </row>
    <row r="190" spans="1:22" s="13" customFormat="1" ht="78.75" customHeight="1" thickBot="1" x14ac:dyDescent="0.25">
      <c r="A190" s="421"/>
      <c r="B190" s="414"/>
      <c r="C190" s="226" t="s">
        <v>158</v>
      </c>
      <c r="D190" s="202">
        <v>755</v>
      </c>
      <c r="E190" s="139" t="s">
        <v>294</v>
      </c>
      <c r="F190" s="139" t="s">
        <v>286</v>
      </c>
      <c r="G190" s="139" t="s">
        <v>294</v>
      </c>
      <c r="H190" s="150"/>
      <c r="I190" s="150"/>
      <c r="J190" s="150"/>
      <c r="K190" s="150">
        <f t="shared" ref="K190:O190" si="68">K191</f>
        <v>0</v>
      </c>
      <c r="L190" s="150">
        <f t="shared" si="68"/>
        <v>0</v>
      </c>
      <c r="M190" s="150">
        <f t="shared" si="68"/>
        <v>0</v>
      </c>
      <c r="N190" s="150">
        <f t="shared" si="68"/>
        <v>0</v>
      </c>
      <c r="O190" s="150">
        <f t="shared" si="68"/>
        <v>0</v>
      </c>
      <c r="P190" s="150">
        <f>SUM(K190:O190)</f>
        <v>0</v>
      </c>
      <c r="Q190" s="9"/>
      <c r="R190" s="3"/>
      <c r="S190" s="3"/>
      <c r="T190" s="3"/>
      <c r="U190" s="3"/>
      <c r="V190" s="3"/>
    </row>
    <row r="191" spans="1:22" s="10" customFormat="1" ht="108.75" customHeight="1" thickBot="1" x14ac:dyDescent="0.3">
      <c r="A191" s="149" t="s">
        <v>228</v>
      </c>
      <c r="B191" s="294" t="s">
        <v>227</v>
      </c>
      <c r="C191" s="293" t="s">
        <v>158</v>
      </c>
      <c r="D191" s="235">
        <v>755</v>
      </c>
      <c r="E191" s="234" t="s">
        <v>19</v>
      </c>
      <c r="F191" s="234" t="s">
        <v>174</v>
      </c>
      <c r="G191" s="320" t="s">
        <v>28</v>
      </c>
      <c r="H191" s="298"/>
      <c r="I191" s="298"/>
      <c r="J191" s="298"/>
      <c r="K191" s="298">
        <v>0</v>
      </c>
      <c r="L191" s="298">
        <v>0</v>
      </c>
      <c r="M191" s="298">
        <v>0</v>
      </c>
      <c r="N191" s="298">
        <v>0</v>
      </c>
      <c r="O191" s="298">
        <v>0</v>
      </c>
      <c r="P191" s="298">
        <f>SUM(K191:O191)</f>
        <v>0</v>
      </c>
      <c r="Q191" s="9"/>
      <c r="R191" s="3"/>
      <c r="S191" s="3"/>
      <c r="T191" s="3"/>
      <c r="U191" s="3"/>
      <c r="V191" s="3"/>
    </row>
    <row r="192" spans="1:22" s="13" customFormat="1" ht="51" customHeight="1" thickBot="1" x14ac:dyDescent="0.25">
      <c r="A192" s="397" t="s">
        <v>164</v>
      </c>
      <c r="B192" s="412" t="s">
        <v>265</v>
      </c>
      <c r="C192" s="202" t="s">
        <v>27</v>
      </c>
      <c r="D192" s="202">
        <v>771</v>
      </c>
      <c r="E192" s="139" t="s">
        <v>294</v>
      </c>
      <c r="F192" s="139" t="s">
        <v>294</v>
      </c>
      <c r="G192" s="228" t="s">
        <v>294</v>
      </c>
      <c r="H192" s="184">
        <f>H196+H202+H219+H248</f>
        <v>421111</v>
      </c>
      <c r="I192" s="184">
        <f>I196+I202+I219+I248</f>
        <v>453719.42999999993</v>
      </c>
      <c r="J192" s="184">
        <f>J196+J202+J219+J248</f>
        <v>303569.08299999998</v>
      </c>
      <c r="K192" s="184">
        <f>K195+K201+K218+K247</f>
        <v>312163.53174000001</v>
      </c>
      <c r="L192" s="184">
        <f>L195+L201+L218+L247</f>
        <v>298141.27300000004</v>
      </c>
      <c r="M192" s="184">
        <f>M195+M201+M218+M247</f>
        <v>298141.27300000004</v>
      </c>
      <c r="N192" s="184">
        <f>N195+N201+N218+N247</f>
        <v>298141.27300000004</v>
      </c>
      <c r="O192" s="184">
        <f>O195+O201+O218+O247</f>
        <v>298141.27300000004</v>
      </c>
      <c r="P192" s="157">
        <f>SUM(H192:O192)</f>
        <v>2683128.13674</v>
      </c>
      <c r="Q192" s="9"/>
      <c r="R192" s="3"/>
      <c r="S192" s="3"/>
      <c r="T192" s="3"/>
      <c r="U192" s="3"/>
      <c r="V192" s="3"/>
    </row>
    <row r="193" spans="1:22" s="13" customFormat="1" ht="35.1" customHeight="1" x14ac:dyDescent="0.2">
      <c r="A193" s="398"/>
      <c r="B193" s="413"/>
      <c r="C193" s="412" t="s">
        <v>20</v>
      </c>
      <c r="D193" s="222">
        <v>771</v>
      </c>
      <c r="E193" s="151" t="s">
        <v>294</v>
      </c>
      <c r="F193" s="151" t="s">
        <v>294</v>
      </c>
      <c r="G193" s="151" t="s">
        <v>294</v>
      </c>
      <c r="H193" s="186">
        <f>SUM(H198:H200)+SUM(H205:H210)+SUM(H211:H213)+SUM(H214:H217)+SUM(H222:H232)+SUM(H240:H244)+SUM(H250:H261)</f>
        <v>421111</v>
      </c>
      <c r="I193" s="186">
        <f>SUM(I198:I200)+SUM(I205:I210)+SUM(I211:I213)+SUM(I214:I217)+SUM(I222:I232)+SUM(I240:I244)+SUM(I250:I261)</f>
        <v>453719.42999999993</v>
      </c>
      <c r="J193" s="186">
        <f>SUM(J198:J200)+SUM(J205:J210)+SUM(J211:J213)+SUM(J214:J217)+SUM(J222:J232)+SUM(J240:J244)+SUM(J250:J261)</f>
        <v>303569.08299999998</v>
      </c>
      <c r="K193" s="186"/>
      <c r="L193" s="186"/>
      <c r="M193" s="186"/>
      <c r="N193" s="186"/>
      <c r="O193" s="186"/>
      <c r="P193" s="158">
        <f>SUM(H193:O194)</f>
        <v>2683128.13674</v>
      </c>
      <c r="Q193" s="9"/>
      <c r="R193" s="3"/>
      <c r="S193" s="3"/>
      <c r="T193" s="3"/>
      <c r="U193" s="3"/>
      <c r="V193" s="3"/>
    </row>
    <row r="194" spans="1:22" s="13" customFormat="1" ht="35.1" customHeight="1" thickBot="1" x14ac:dyDescent="0.3">
      <c r="A194" s="399"/>
      <c r="B194" s="414"/>
      <c r="C194" s="414"/>
      <c r="D194" s="188">
        <v>771</v>
      </c>
      <c r="E194" s="187" t="s">
        <v>294</v>
      </c>
      <c r="F194" s="187" t="s">
        <v>290</v>
      </c>
      <c r="G194" s="187" t="s">
        <v>294</v>
      </c>
      <c r="H194" s="154"/>
      <c r="I194" s="154"/>
      <c r="J194" s="154"/>
      <c r="K194" s="189">
        <f>K197+K203+K220+K249</f>
        <v>312163.53174000001</v>
      </c>
      <c r="L194" s="189">
        <f>SUM(L198:L200)+SUM(L205:L210)+SUM(L211:L213)+SUM(L214:L217)+SUM(L222:L232)+SUM(L240:L244)+SUM(L250:L261)</f>
        <v>298141.27299999999</v>
      </c>
      <c r="M194" s="189">
        <f>SUM(M198:M200)+SUM(M205:M210)+SUM(M211:M213)+SUM(M214:M217)+SUM(M222:M232)+SUM(M240:M244)+SUM(M250:M261)</f>
        <v>298141.27299999999</v>
      </c>
      <c r="N194" s="189">
        <f>SUM(N198:N200)+SUM(N205:N210)+SUM(N211:N213)+SUM(N214:N217)+SUM(N222:N232)+SUM(N240:N244)+SUM(N250:N261)</f>
        <v>298141.27299999999</v>
      </c>
      <c r="O194" s="189">
        <f>SUM(O198:O200)+SUM(O205:O210)+SUM(O211:O213)+SUM(O214:O217)+SUM(O222:O232)+SUM(O240:O244)+SUM(O250:O261)</f>
        <v>298141.27299999999</v>
      </c>
      <c r="P194" s="154"/>
      <c r="Q194" s="9"/>
      <c r="R194" s="3"/>
      <c r="S194" s="3"/>
      <c r="T194" s="3"/>
      <c r="U194" s="3"/>
      <c r="V194" s="3"/>
    </row>
    <row r="195" spans="1:22" s="13" customFormat="1" ht="24.75" customHeight="1" thickBot="1" x14ac:dyDescent="0.25">
      <c r="A195" s="401" t="s">
        <v>165</v>
      </c>
      <c r="B195" s="412" t="s">
        <v>340</v>
      </c>
      <c r="C195" s="202" t="s">
        <v>27</v>
      </c>
      <c r="D195" s="202">
        <v>771</v>
      </c>
      <c r="E195" s="139" t="s">
        <v>294</v>
      </c>
      <c r="F195" s="139" t="s">
        <v>294</v>
      </c>
      <c r="G195" s="228" t="s">
        <v>294</v>
      </c>
      <c r="H195" s="157">
        <f>SUM(H196:H197)</f>
        <v>22117.4</v>
      </c>
      <c r="I195" s="157">
        <f t="shared" ref="I195:J195" si="69">SUM(I196:I197)</f>
        <v>22707.35</v>
      </c>
      <c r="J195" s="157">
        <f t="shared" si="69"/>
        <v>28518.86</v>
      </c>
      <c r="K195" s="184">
        <f t="shared" ref="K195:O195" si="70">SUM(K198:K200)</f>
        <v>27214.11</v>
      </c>
      <c r="L195" s="184">
        <f t="shared" si="70"/>
        <v>27214.11</v>
      </c>
      <c r="M195" s="184">
        <f t="shared" si="70"/>
        <v>27214.11</v>
      </c>
      <c r="N195" s="184">
        <f t="shared" si="70"/>
        <v>27214.11</v>
      </c>
      <c r="O195" s="184">
        <f t="shared" si="70"/>
        <v>27214.11</v>
      </c>
      <c r="P195" s="184">
        <f>SUM(H195:O195)</f>
        <v>209414.15999999997</v>
      </c>
      <c r="Q195" s="9"/>
      <c r="R195" s="3"/>
      <c r="S195" s="3"/>
      <c r="T195" s="3"/>
      <c r="U195" s="3"/>
      <c r="V195" s="3"/>
    </row>
    <row r="196" spans="1:22" s="13" customFormat="1" ht="35.1" customHeight="1" x14ac:dyDescent="0.2">
      <c r="A196" s="402"/>
      <c r="B196" s="413"/>
      <c r="C196" s="412" t="s">
        <v>20</v>
      </c>
      <c r="D196" s="222">
        <v>771</v>
      </c>
      <c r="E196" s="151" t="s">
        <v>294</v>
      </c>
      <c r="F196" s="151" t="s">
        <v>294</v>
      </c>
      <c r="G196" s="151" t="s">
        <v>294</v>
      </c>
      <c r="H196" s="186">
        <f>SUM(H198:H200)</f>
        <v>22117.4</v>
      </c>
      <c r="I196" s="186">
        <f>SUM(I198:I200)</f>
        <v>22707.35</v>
      </c>
      <c r="J196" s="186">
        <f>SUM(J198:J200)</f>
        <v>28518.86</v>
      </c>
      <c r="K196" s="186"/>
      <c r="L196" s="186"/>
      <c r="M196" s="186"/>
      <c r="N196" s="186"/>
      <c r="O196" s="186"/>
      <c r="P196" s="410">
        <f>SUM(H196:O197)</f>
        <v>209414.15999999997</v>
      </c>
      <c r="Q196" s="9"/>
      <c r="R196" s="3"/>
      <c r="S196" s="3"/>
      <c r="T196" s="3"/>
      <c r="U196" s="3"/>
      <c r="V196" s="3"/>
    </row>
    <row r="197" spans="1:22" s="13" customFormat="1" ht="35.1" customHeight="1" thickBot="1" x14ac:dyDescent="0.3">
      <c r="A197" s="421"/>
      <c r="B197" s="414"/>
      <c r="C197" s="414"/>
      <c r="D197" s="188">
        <v>771</v>
      </c>
      <c r="E197" s="187" t="s">
        <v>294</v>
      </c>
      <c r="F197" s="187" t="s">
        <v>291</v>
      </c>
      <c r="G197" s="187" t="s">
        <v>294</v>
      </c>
      <c r="H197" s="154"/>
      <c r="I197" s="154"/>
      <c r="J197" s="154"/>
      <c r="K197" s="189">
        <f t="shared" ref="K197:O197" si="71">SUM(K198:K200)</f>
        <v>27214.11</v>
      </c>
      <c r="L197" s="189">
        <f t="shared" si="71"/>
        <v>27214.11</v>
      </c>
      <c r="M197" s="189">
        <f t="shared" si="71"/>
        <v>27214.11</v>
      </c>
      <c r="N197" s="189">
        <f t="shared" si="71"/>
        <v>27214.11</v>
      </c>
      <c r="O197" s="189">
        <f t="shared" si="71"/>
        <v>27214.11</v>
      </c>
      <c r="P197" s="411"/>
      <c r="Q197" s="9"/>
      <c r="R197" s="3"/>
      <c r="S197" s="3"/>
      <c r="T197" s="3"/>
      <c r="U197" s="3"/>
      <c r="V197" s="3"/>
    </row>
    <row r="198" spans="1:22" s="10" customFormat="1" ht="25.5" customHeight="1" x14ac:dyDescent="0.25">
      <c r="A198" s="402" t="s">
        <v>229</v>
      </c>
      <c r="B198" s="393" t="s">
        <v>75</v>
      </c>
      <c r="C198" s="400" t="s">
        <v>20</v>
      </c>
      <c r="D198" s="113">
        <v>771</v>
      </c>
      <c r="E198" s="172" t="s">
        <v>16</v>
      </c>
      <c r="F198" s="172" t="s">
        <v>70</v>
      </c>
      <c r="G198" s="190" t="s">
        <v>17</v>
      </c>
      <c r="H198" s="266">
        <v>22117.4</v>
      </c>
      <c r="I198" s="267"/>
      <c r="J198" s="267"/>
      <c r="K198" s="267"/>
      <c r="L198" s="267"/>
      <c r="M198" s="267"/>
      <c r="N198" s="267"/>
      <c r="O198" s="267"/>
      <c r="P198" s="395">
        <f>SUM(H198:O200)</f>
        <v>209414.15999999997</v>
      </c>
      <c r="Q198" s="9"/>
      <c r="R198" s="3"/>
      <c r="S198" s="3"/>
      <c r="T198" s="3"/>
      <c r="U198" s="3"/>
      <c r="V198" s="3"/>
    </row>
    <row r="199" spans="1:22" s="10" customFormat="1" ht="54.75" customHeight="1" x14ac:dyDescent="0.25">
      <c r="A199" s="402"/>
      <c r="B199" s="393"/>
      <c r="C199" s="393"/>
      <c r="D199" s="61">
        <v>771</v>
      </c>
      <c r="E199" s="99" t="s">
        <v>16</v>
      </c>
      <c r="F199" s="61">
        <v>1191003</v>
      </c>
      <c r="G199" s="240" t="s">
        <v>308</v>
      </c>
      <c r="H199" s="252"/>
      <c r="I199" s="252">
        <v>22707.35</v>
      </c>
      <c r="J199" s="252">
        <v>28518.86</v>
      </c>
      <c r="K199" s="252"/>
      <c r="L199" s="252"/>
      <c r="M199" s="252"/>
      <c r="N199" s="252"/>
      <c r="O199" s="252"/>
      <c r="P199" s="395"/>
      <c r="Q199" s="9"/>
      <c r="R199" s="3"/>
      <c r="S199" s="3"/>
      <c r="T199" s="3"/>
      <c r="U199" s="3"/>
      <c r="V199" s="3"/>
    </row>
    <row r="200" spans="1:22" s="10" customFormat="1" ht="55.5" customHeight="1" thickBot="1" x14ac:dyDescent="0.3">
      <c r="A200" s="402"/>
      <c r="B200" s="393"/>
      <c r="C200" s="394"/>
      <c r="D200" s="176">
        <v>771</v>
      </c>
      <c r="E200" s="177" t="s">
        <v>16</v>
      </c>
      <c r="F200" s="176">
        <v>1160110030</v>
      </c>
      <c r="G200" s="319" t="s">
        <v>308</v>
      </c>
      <c r="H200" s="255"/>
      <c r="I200" s="255"/>
      <c r="J200" s="255"/>
      <c r="K200" s="255">
        <v>27214.11</v>
      </c>
      <c r="L200" s="255">
        <v>27214.11</v>
      </c>
      <c r="M200" s="255">
        <v>27214.11</v>
      </c>
      <c r="N200" s="255">
        <v>27214.11</v>
      </c>
      <c r="O200" s="255">
        <v>27214.11</v>
      </c>
      <c r="P200" s="395"/>
      <c r="Q200" s="9"/>
      <c r="R200" s="3"/>
      <c r="S200" s="3"/>
      <c r="T200" s="3"/>
      <c r="U200" s="3"/>
      <c r="V200" s="3"/>
    </row>
    <row r="201" spans="1:22" s="13" customFormat="1" ht="19.5" customHeight="1" thickBot="1" x14ac:dyDescent="0.25">
      <c r="A201" s="401" t="s">
        <v>166</v>
      </c>
      <c r="B201" s="412" t="s">
        <v>341</v>
      </c>
      <c r="C201" s="202" t="s">
        <v>27</v>
      </c>
      <c r="D201" s="202">
        <v>771</v>
      </c>
      <c r="E201" s="139" t="s">
        <v>294</v>
      </c>
      <c r="F201" s="139" t="s">
        <v>294</v>
      </c>
      <c r="G201" s="228" t="s">
        <v>294</v>
      </c>
      <c r="H201" s="157">
        <f>SUM(H202:H203)</f>
        <v>97585</v>
      </c>
      <c r="I201" s="157">
        <f t="shared" ref="I201:J201" si="72">SUM(I202:I203)</f>
        <v>84110</v>
      </c>
      <c r="J201" s="157">
        <f t="shared" si="72"/>
        <v>48371.652999999998</v>
      </c>
      <c r="K201" s="184">
        <f t="shared" ref="K201:O201" si="73">K204+SUM(K211:K217)</f>
        <v>42448.548739999998</v>
      </c>
      <c r="L201" s="184">
        <f t="shared" si="73"/>
        <v>28865.279999999999</v>
      </c>
      <c r="M201" s="184">
        <f t="shared" si="73"/>
        <v>28865.279999999999</v>
      </c>
      <c r="N201" s="184">
        <f t="shared" si="73"/>
        <v>28865.279999999999</v>
      </c>
      <c r="O201" s="184">
        <f t="shared" si="73"/>
        <v>28865.279999999999</v>
      </c>
      <c r="P201" s="184">
        <f>SUM(H201:O201)</f>
        <v>387976.32174000004</v>
      </c>
      <c r="Q201" s="9"/>
      <c r="R201" s="3"/>
      <c r="S201" s="3"/>
      <c r="T201" s="3"/>
      <c r="U201" s="3"/>
      <c r="V201" s="3"/>
    </row>
    <row r="202" spans="1:22" s="13" customFormat="1" ht="35.1" customHeight="1" x14ac:dyDescent="0.2">
      <c r="A202" s="402"/>
      <c r="B202" s="413"/>
      <c r="C202" s="412" t="s">
        <v>20</v>
      </c>
      <c r="D202" s="222">
        <v>771</v>
      </c>
      <c r="E202" s="151" t="s">
        <v>294</v>
      </c>
      <c r="F202" s="151" t="s">
        <v>294</v>
      </c>
      <c r="G202" s="151" t="s">
        <v>294</v>
      </c>
      <c r="H202" s="186">
        <f>H204+H211+H214+H216+H217</f>
        <v>97585</v>
      </c>
      <c r="I202" s="186">
        <f>I204+I212+I215+I216+I217</f>
        <v>84110</v>
      </c>
      <c r="J202" s="186">
        <f>J204+J212+J215+J216+J217</f>
        <v>48371.652999999998</v>
      </c>
      <c r="K202" s="186"/>
      <c r="L202" s="186"/>
      <c r="M202" s="186"/>
      <c r="N202" s="186"/>
      <c r="O202" s="186"/>
      <c r="P202" s="410">
        <f>SUM(H202:O203)</f>
        <v>387976.32174000004</v>
      </c>
      <c r="Q202" s="9"/>
      <c r="R202" s="3"/>
      <c r="S202" s="3"/>
      <c r="T202" s="3"/>
      <c r="U202" s="3"/>
      <c r="V202" s="3"/>
    </row>
    <row r="203" spans="1:22" s="13" customFormat="1" ht="35.1" customHeight="1" thickBot="1" x14ac:dyDescent="0.3">
      <c r="A203" s="421"/>
      <c r="B203" s="414"/>
      <c r="C203" s="414"/>
      <c r="D203" s="188">
        <v>771</v>
      </c>
      <c r="E203" s="187" t="s">
        <v>294</v>
      </c>
      <c r="F203" s="187" t="s">
        <v>285</v>
      </c>
      <c r="G203" s="187" t="s">
        <v>294</v>
      </c>
      <c r="H203" s="154"/>
      <c r="I203" s="154"/>
      <c r="J203" s="154"/>
      <c r="K203" s="189">
        <f>K204+K213+K215+K216+K217</f>
        <v>42448.548739999998</v>
      </c>
      <c r="L203" s="189">
        <f t="shared" ref="L203:O203" si="74">L204+L213+L215+L216+L217</f>
        <v>28865.279999999999</v>
      </c>
      <c r="M203" s="189">
        <f t="shared" si="74"/>
        <v>28865.279999999999</v>
      </c>
      <c r="N203" s="189">
        <f t="shared" si="74"/>
        <v>28865.279999999999</v>
      </c>
      <c r="O203" s="189">
        <f t="shared" si="74"/>
        <v>28865.279999999999</v>
      </c>
      <c r="P203" s="411"/>
      <c r="Q203" s="9"/>
      <c r="R203" s="3"/>
      <c r="S203" s="3"/>
      <c r="T203" s="3"/>
      <c r="U203" s="3"/>
      <c r="V203" s="3"/>
    </row>
    <row r="204" spans="1:22" s="10" customFormat="1" ht="94.5" customHeight="1" thickBot="1" x14ac:dyDescent="0.3">
      <c r="A204" s="27" t="s">
        <v>230</v>
      </c>
      <c r="B204" s="144" t="s">
        <v>250</v>
      </c>
      <c r="C204" s="144" t="s">
        <v>20</v>
      </c>
      <c r="D204" s="324">
        <v>771</v>
      </c>
      <c r="E204" s="145" t="s">
        <v>294</v>
      </c>
      <c r="F204" s="145" t="s">
        <v>294</v>
      </c>
      <c r="G204" s="325" t="s">
        <v>294</v>
      </c>
      <c r="H204" s="297">
        <f>SUM(H205:H210)</f>
        <v>69685</v>
      </c>
      <c r="I204" s="297">
        <f t="shared" ref="I204:O204" si="75">SUM(I205:I210)</f>
        <v>63610</v>
      </c>
      <c r="J204" s="297">
        <f t="shared" si="75"/>
        <v>30373.652999999998</v>
      </c>
      <c r="K204" s="297">
        <f t="shared" si="75"/>
        <v>23330.295059999997</v>
      </c>
      <c r="L204" s="297">
        <f t="shared" si="75"/>
        <v>28865.279999999999</v>
      </c>
      <c r="M204" s="297">
        <f t="shared" si="75"/>
        <v>28865.279999999999</v>
      </c>
      <c r="N204" s="297">
        <f t="shared" si="75"/>
        <v>28865.279999999999</v>
      </c>
      <c r="O204" s="297">
        <f t="shared" si="75"/>
        <v>28865.279999999999</v>
      </c>
      <c r="P204" s="297">
        <f t="shared" ref="P204" si="76">SUM(H204:O204)</f>
        <v>302460.06805999996</v>
      </c>
      <c r="Q204" s="9"/>
      <c r="R204" s="3"/>
      <c r="S204" s="3"/>
      <c r="T204" s="3"/>
      <c r="U204" s="3"/>
      <c r="V204" s="3"/>
    </row>
    <row r="205" spans="1:22" s="46" customFormat="1" ht="34.5" customHeight="1" x14ac:dyDescent="0.25">
      <c r="A205" s="401" t="s">
        <v>231</v>
      </c>
      <c r="B205" s="400" t="s">
        <v>247</v>
      </c>
      <c r="C205" s="400" t="s">
        <v>20</v>
      </c>
      <c r="D205" s="163">
        <v>771</v>
      </c>
      <c r="E205" s="162" t="s">
        <v>76</v>
      </c>
      <c r="F205" s="163">
        <v>4440101</v>
      </c>
      <c r="G205" s="164" t="s">
        <v>17</v>
      </c>
      <c r="H205" s="248">
        <v>55544.43</v>
      </c>
      <c r="I205" s="249"/>
      <c r="J205" s="249"/>
      <c r="K205" s="249"/>
      <c r="L205" s="249"/>
      <c r="M205" s="249"/>
      <c r="N205" s="249"/>
      <c r="O205" s="249"/>
      <c r="P205" s="458">
        <f>SUM(H205:O207)</f>
        <v>211600.35608</v>
      </c>
      <c r="Q205" s="9"/>
      <c r="R205" s="9"/>
      <c r="S205" s="9"/>
      <c r="T205" s="9"/>
      <c r="U205" s="9"/>
      <c r="V205" s="9"/>
    </row>
    <row r="206" spans="1:22" s="46" customFormat="1" ht="42.75" customHeight="1" x14ac:dyDescent="0.25">
      <c r="A206" s="402"/>
      <c r="B206" s="393"/>
      <c r="C206" s="393"/>
      <c r="D206" s="61">
        <v>771</v>
      </c>
      <c r="E206" s="99" t="s">
        <v>76</v>
      </c>
      <c r="F206" s="61">
        <v>1192041</v>
      </c>
      <c r="G206" s="240" t="s">
        <v>28</v>
      </c>
      <c r="H206" s="251"/>
      <c r="I206" s="251">
        <f>45710+900</f>
        <v>46610</v>
      </c>
      <c r="J206" s="251">
        <f>47510-7126.5-18804-9.781</f>
        <v>21569.719000000001</v>
      </c>
      <c r="K206" s="251"/>
      <c r="L206" s="251"/>
      <c r="M206" s="251"/>
      <c r="N206" s="251"/>
      <c r="O206" s="251"/>
      <c r="P206" s="462"/>
      <c r="Q206" s="9"/>
      <c r="R206" s="9"/>
      <c r="S206" s="9"/>
      <c r="T206" s="9"/>
      <c r="U206" s="9"/>
      <c r="V206" s="9"/>
    </row>
    <row r="207" spans="1:22" s="46" customFormat="1" ht="30" customHeight="1" thickBot="1" x14ac:dyDescent="0.3">
      <c r="A207" s="421"/>
      <c r="B207" s="394"/>
      <c r="C207" s="394"/>
      <c r="D207" s="169">
        <v>771</v>
      </c>
      <c r="E207" s="182" t="s">
        <v>76</v>
      </c>
      <c r="F207" s="169">
        <v>1160222980</v>
      </c>
      <c r="G207" s="170" t="s">
        <v>28</v>
      </c>
      <c r="H207" s="322"/>
      <c r="I207" s="322"/>
      <c r="J207" s="322"/>
      <c r="K207" s="322">
        <f>12111.5-480.41292</f>
        <v>11631.087079999999</v>
      </c>
      <c r="L207" s="322">
        <v>19061.28</v>
      </c>
      <c r="M207" s="322">
        <v>19061.28</v>
      </c>
      <c r="N207" s="322">
        <v>19061.28</v>
      </c>
      <c r="O207" s="322">
        <v>19061.28</v>
      </c>
      <c r="P207" s="459"/>
      <c r="Q207" s="9"/>
      <c r="R207" s="9"/>
      <c r="S207" s="9"/>
      <c r="T207" s="9"/>
      <c r="U207" s="9"/>
      <c r="V207" s="9"/>
    </row>
    <row r="208" spans="1:22" s="46" customFormat="1" ht="33.75" customHeight="1" x14ac:dyDescent="0.25">
      <c r="A208" s="397" t="s">
        <v>232</v>
      </c>
      <c r="B208" s="400" t="s">
        <v>248</v>
      </c>
      <c r="C208" s="400" t="s">
        <v>20</v>
      </c>
      <c r="D208" s="163">
        <v>771</v>
      </c>
      <c r="E208" s="162" t="s">
        <v>77</v>
      </c>
      <c r="F208" s="163">
        <v>4440102</v>
      </c>
      <c r="G208" s="164" t="s">
        <v>17</v>
      </c>
      <c r="H208" s="248">
        <v>14140.57</v>
      </c>
      <c r="I208" s="249"/>
      <c r="J208" s="249"/>
      <c r="K208" s="249"/>
      <c r="L208" s="249"/>
      <c r="M208" s="249"/>
      <c r="N208" s="249"/>
      <c r="O208" s="249"/>
      <c r="P208" s="458">
        <f>SUM(H208:O210)</f>
        <v>90859.711979999993</v>
      </c>
      <c r="Q208" s="9"/>
      <c r="R208" s="9"/>
      <c r="S208" s="9"/>
      <c r="T208" s="9"/>
      <c r="U208" s="9"/>
      <c r="V208" s="9"/>
    </row>
    <row r="209" spans="1:22" s="46" customFormat="1" ht="35.25" customHeight="1" x14ac:dyDescent="0.25">
      <c r="A209" s="398"/>
      <c r="B209" s="393"/>
      <c r="C209" s="393"/>
      <c r="D209" s="106">
        <v>771</v>
      </c>
      <c r="E209" s="239" t="s">
        <v>77</v>
      </c>
      <c r="F209" s="61">
        <v>1192041</v>
      </c>
      <c r="G209" s="240" t="s">
        <v>28</v>
      </c>
      <c r="H209" s="251"/>
      <c r="I209" s="251">
        <v>17000</v>
      </c>
      <c r="J209" s="251">
        <f>17000-2550-5646-0.066</f>
        <v>8803.9339999999993</v>
      </c>
      <c r="K209" s="251"/>
      <c r="L209" s="251"/>
      <c r="M209" s="251"/>
      <c r="N209" s="251"/>
      <c r="O209" s="251"/>
      <c r="P209" s="462"/>
      <c r="Q209" s="9"/>
      <c r="R209" s="9"/>
      <c r="S209" s="9"/>
      <c r="T209" s="9"/>
      <c r="U209" s="9"/>
      <c r="V209" s="9"/>
    </row>
    <row r="210" spans="1:22" s="46" customFormat="1" ht="30" customHeight="1" thickBot="1" x14ac:dyDescent="0.3">
      <c r="A210" s="399"/>
      <c r="B210" s="394"/>
      <c r="C210" s="394"/>
      <c r="D210" s="246">
        <v>771</v>
      </c>
      <c r="E210" s="247" t="s">
        <v>77</v>
      </c>
      <c r="F210" s="169">
        <v>1160222980</v>
      </c>
      <c r="G210" s="170" t="s">
        <v>28</v>
      </c>
      <c r="H210" s="322"/>
      <c r="I210" s="322"/>
      <c r="J210" s="322"/>
      <c r="K210" s="322">
        <f>11804-104.79202</f>
        <v>11699.207979999999</v>
      </c>
      <c r="L210" s="322">
        <v>9804</v>
      </c>
      <c r="M210" s="322">
        <v>9804</v>
      </c>
      <c r="N210" s="322">
        <v>9804</v>
      </c>
      <c r="O210" s="322">
        <v>9804</v>
      </c>
      <c r="P210" s="459"/>
      <c r="Q210" s="9"/>
      <c r="R210" s="9"/>
      <c r="S210" s="9"/>
      <c r="T210" s="9"/>
      <c r="U210" s="9"/>
      <c r="V210" s="9"/>
    </row>
    <row r="211" spans="1:22" s="10" customFormat="1" ht="61.5" customHeight="1" x14ac:dyDescent="0.25">
      <c r="A211" s="397" t="s">
        <v>249</v>
      </c>
      <c r="B211" s="400" t="s">
        <v>88</v>
      </c>
      <c r="C211" s="400" t="s">
        <v>20</v>
      </c>
      <c r="D211" s="244">
        <v>771</v>
      </c>
      <c r="E211" s="245" t="s">
        <v>16</v>
      </c>
      <c r="F211" s="245" t="s">
        <v>89</v>
      </c>
      <c r="G211" s="338" t="s">
        <v>17</v>
      </c>
      <c r="H211" s="250">
        <v>20000</v>
      </c>
      <c r="I211" s="249"/>
      <c r="J211" s="249"/>
      <c r="K211" s="249"/>
      <c r="L211" s="249"/>
      <c r="M211" s="249"/>
      <c r="N211" s="249"/>
      <c r="O211" s="249"/>
      <c r="P211" s="407">
        <f>SUM(H211:O213)</f>
        <v>77116.253679999994</v>
      </c>
      <c r="Q211" s="9"/>
      <c r="R211" s="3"/>
      <c r="S211" s="3"/>
      <c r="T211" s="3"/>
      <c r="U211" s="3"/>
      <c r="V211" s="3"/>
    </row>
    <row r="212" spans="1:22" s="10" customFormat="1" ht="63" customHeight="1" x14ac:dyDescent="0.25">
      <c r="A212" s="398"/>
      <c r="B212" s="393"/>
      <c r="C212" s="393"/>
      <c r="D212" s="106">
        <v>771</v>
      </c>
      <c r="E212" s="239" t="s">
        <v>16</v>
      </c>
      <c r="F212" s="106">
        <v>1192154</v>
      </c>
      <c r="G212" s="339" t="s">
        <v>28</v>
      </c>
      <c r="H212" s="252"/>
      <c r="I212" s="252">
        <v>20000</v>
      </c>
      <c r="J212" s="255">
        <f>20000-2000-2</f>
        <v>17998</v>
      </c>
      <c r="K212" s="252"/>
      <c r="L212" s="252"/>
      <c r="M212" s="252"/>
      <c r="N212" s="252"/>
      <c r="O212" s="252"/>
      <c r="P212" s="395"/>
      <c r="Q212" s="9"/>
      <c r="R212" s="3"/>
      <c r="S212" s="3"/>
      <c r="T212" s="3"/>
      <c r="U212" s="3"/>
      <c r="V212" s="3"/>
    </row>
    <row r="213" spans="1:22" s="10" customFormat="1" ht="68.25" customHeight="1" thickBot="1" x14ac:dyDescent="0.3">
      <c r="A213" s="398"/>
      <c r="B213" s="394"/>
      <c r="C213" s="393"/>
      <c r="D213" s="241">
        <v>771</v>
      </c>
      <c r="E213" s="242" t="s">
        <v>16</v>
      </c>
      <c r="F213" s="241">
        <v>1160221540</v>
      </c>
      <c r="G213" s="340" t="s">
        <v>28</v>
      </c>
      <c r="H213" s="255"/>
      <c r="I213" s="255"/>
      <c r="J213" s="255"/>
      <c r="K213" s="255">
        <f>20000-881.74632</f>
        <v>19118.253680000002</v>
      </c>
      <c r="L213" s="255">
        <v>0</v>
      </c>
      <c r="M213" s="255">
        <v>0</v>
      </c>
      <c r="N213" s="255">
        <v>0</v>
      </c>
      <c r="O213" s="255">
        <v>0</v>
      </c>
      <c r="P213" s="395"/>
      <c r="Q213" s="9"/>
      <c r="R213" s="3"/>
      <c r="S213" s="3"/>
      <c r="T213" s="3"/>
      <c r="U213" s="3"/>
      <c r="V213" s="3"/>
    </row>
    <row r="214" spans="1:22" s="10" customFormat="1" ht="36.75" customHeight="1" x14ac:dyDescent="0.25">
      <c r="A214" s="422" t="s">
        <v>267</v>
      </c>
      <c r="B214" s="400" t="s">
        <v>81</v>
      </c>
      <c r="C214" s="400" t="s">
        <v>20</v>
      </c>
      <c r="D214" s="244">
        <v>771</v>
      </c>
      <c r="E214" s="245" t="s">
        <v>30</v>
      </c>
      <c r="F214" s="244">
        <v>5222500</v>
      </c>
      <c r="G214" s="338" t="s">
        <v>17</v>
      </c>
      <c r="H214" s="250">
        <v>5300</v>
      </c>
      <c r="I214" s="249"/>
      <c r="J214" s="249"/>
      <c r="K214" s="249"/>
      <c r="L214" s="249"/>
      <c r="M214" s="249"/>
      <c r="N214" s="249"/>
      <c r="O214" s="249"/>
      <c r="P214" s="407">
        <f>SUM(H214:O215)</f>
        <v>5800</v>
      </c>
      <c r="Q214" s="9"/>
      <c r="R214" s="3"/>
      <c r="S214" s="3"/>
      <c r="T214" s="3"/>
      <c r="U214" s="3"/>
      <c r="V214" s="3"/>
    </row>
    <row r="215" spans="1:22" s="10" customFormat="1" ht="34.5" customHeight="1" thickBot="1" x14ac:dyDescent="0.3">
      <c r="A215" s="423"/>
      <c r="B215" s="394"/>
      <c r="C215" s="394"/>
      <c r="D215" s="246">
        <v>771</v>
      </c>
      <c r="E215" s="247" t="s">
        <v>30</v>
      </c>
      <c r="F215" s="246">
        <v>1192072</v>
      </c>
      <c r="G215" s="341" t="s">
        <v>28</v>
      </c>
      <c r="H215" s="258"/>
      <c r="I215" s="258">
        <f>0+500</f>
        <v>500</v>
      </c>
      <c r="J215" s="258">
        <v>0</v>
      </c>
      <c r="K215" s="258">
        <v>0</v>
      </c>
      <c r="L215" s="258">
        <v>0</v>
      </c>
      <c r="M215" s="258">
        <v>0</v>
      </c>
      <c r="N215" s="258">
        <v>0</v>
      </c>
      <c r="O215" s="258">
        <v>0</v>
      </c>
      <c r="P215" s="396"/>
      <c r="Q215" s="9"/>
      <c r="R215" s="3"/>
      <c r="S215" s="3"/>
      <c r="T215" s="3"/>
      <c r="U215" s="3"/>
      <c r="V215" s="3"/>
    </row>
    <row r="216" spans="1:22" s="10" customFormat="1" ht="75.75" customHeight="1" thickBot="1" x14ac:dyDescent="0.3">
      <c r="A216" s="342" t="s">
        <v>268</v>
      </c>
      <c r="B216" s="141" t="s">
        <v>82</v>
      </c>
      <c r="C216" s="141" t="s">
        <v>20</v>
      </c>
      <c r="D216" s="256">
        <v>771</v>
      </c>
      <c r="E216" s="257" t="s">
        <v>30</v>
      </c>
      <c r="F216" s="256">
        <v>5223800</v>
      </c>
      <c r="G216" s="343" t="s">
        <v>17</v>
      </c>
      <c r="H216" s="205">
        <v>300</v>
      </c>
      <c r="I216" s="205">
        <v>0</v>
      </c>
      <c r="J216" s="205">
        <v>0</v>
      </c>
      <c r="K216" s="205">
        <v>0</v>
      </c>
      <c r="L216" s="205">
        <v>0</v>
      </c>
      <c r="M216" s="205">
        <v>0</v>
      </c>
      <c r="N216" s="205">
        <v>0</v>
      </c>
      <c r="O216" s="205">
        <v>0</v>
      </c>
      <c r="P216" s="205">
        <f>SUM(H216:O216)</f>
        <v>300</v>
      </c>
      <c r="Q216" s="9"/>
      <c r="R216" s="3"/>
      <c r="S216" s="3"/>
      <c r="T216" s="3"/>
      <c r="U216" s="3"/>
      <c r="V216" s="3"/>
    </row>
    <row r="217" spans="1:22" s="13" customFormat="1" ht="72" customHeight="1" thickBot="1" x14ac:dyDescent="0.25">
      <c r="A217" s="342" t="s">
        <v>269</v>
      </c>
      <c r="B217" s="127" t="s">
        <v>87</v>
      </c>
      <c r="C217" s="344" t="s">
        <v>20</v>
      </c>
      <c r="D217" s="345">
        <v>771</v>
      </c>
      <c r="E217" s="346" t="s">
        <v>30</v>
      </c>
      <c r="F217" s="345">
        <v>5225000</v>
      </c>
      <c r="G217" s="346" t="s">
        <v>17</v>
      </c>
      <c r="H217" s="347">
        <f>SUM(H262:H264)</f>
        <v>2300</v>
      </c>
      <c r="I217" s="347">
        <f>SUM(I262:I264)</f>
        <v>0</v>
      </c>
      <c r="J217" s="347">
        <f>SUM(J262:J264)</f>
        <v>0</v>
      </c>
      <c r="K217" s="347">
        <f>SUM(K262:K264)</f>
        <v>0</v>
      </c>
      <c r="L217" s="347">
        <f>SUM(L262:L264)</f>
        <v>0</v>
      </c>
      <c r="M217" s="347">
        <v>0</v>
      </c>
      <c r="N217" s="347">
        <v>0</v>
      </c>
      <c r="O217" s="347">
        <v>0</v>
      </c>
      <c r="P217" s="347">
        <f>SUM(H217:O217)</f>
        <v>2300</v>
      </c>
      <c r="Q217" s="9"/>
      <c r="R217" s="9"/>
      <c r="S217" s="9"/>
      <c r="T217" s="9"/>
      <c r="U217" s="9"/>
      <c r="V217" s="9"/>
    </row>
    <row r="218" spans="1:22" s="13" customFormat="1" ht="21.75" customHeight="1" thickBot="1" x14ac:dyDescent="0.25">
      <c r="A218" s="397" t="s">
        <v>167</v>
      </c>
      <c r="B218" s="412" t="s">
        <v>379</v>
      </c>
      <c r="C218" s="202" t="s">
        <v>27</v>
      </c>
      <c r="D218" s="202">
        <v>771</v>
      </c>
      <c r="E218" s="139" t="s">
        <v>294</v>
      </c>
      <c r="F218" s="139" t="s">
        <v>294</v>
      </c>
      <c r="G218" s="228" t="s">
        <v>294</v>
      </c>
      <c r="H218" s="157">
        <f t="shared" ref="H218:J218" si="77">SUM(H219:H220)</f>
        <v>299108.60000000003</v>
      </c>
      <c r="I218" s="157">
        <f t="shared" si="77"/>
        <v>346902.07999999996</v>
      </c>
      <c r="J218" s="157">
        <f t="shared" si="77"/>
        <v>215073.07</v>
      </c>
      <c r="K218" s="157">
        <f>SUM(K219:K220)</f>
        <v>228290.87</v>
      </c>
      <c r="L218" s="157">
        <f>SUM(L219:L220)</f>
        <v>226861.88</v>
      </c>
      <c r="M218" s="157">
        <f t="shared" ref="M218:O218" si="78">SUM(M219:M220)</f>
        <v>226861.88</v>
      </c>
      <c r="N218" s="157">
        <f t="shared" si="78"/>
        <v>226861.88</v>
      </c>
      <c r="O218" s="157">
        <f t="shared" si="78"/>
        <v>226861.88</v>
      </c>
      <c r="P218" s="157">
        <f>SUM(H218:O218)</f>
        <v>1996822.1399999997</v>
      </c>
      <c r="Q218" s="9"/>
      <c r="R218" s="9"/>
      <c r="S218" s="9"/>
      <c r="T218" s="9"/>
      <c r="U218" s="9"/>
      <c r="V218" s="9"/>
    </row>
    <row r="219" spans="1:22" s="13" customFormat="1" ht="21.75" customHeight="1" x14ac:dyDescent="0.2">
      <c r="A219" s="398"/>
      <c r="B219" s="413"/>
      <c r="C219" s="496" t="s">
        <v>20</v>
      </c>
      <c r="D219" s="222">
        <v>771</v>
      </c>
      <c r="E219" s="151" t="s">
        <v>294</v>
      </c>
      <c r="F219" s="151" t="s">
        <v>294</v>
      </c>
      <c r="G219" s="151" t="s">
        <v>294</v>
      </c>
      <c r="H219" s="158">
        <f>H221+SUM(H228:H231)+H232+H239+SUM(H243:H244)</f>
        <v>299108.60000000003</v>
      </c>
      <c r="I219" s="158">
        <f>I221+SUM(I228:I231)+I232+I239+SUM(I243:I244)</f>
        <v>346902.07999999996</v>
      </c>
      <c r="J219" s="158">
        <f>J221+SUM(J228:J231)+J232+J239+SUM(J243:J244)</f>
        <v>215073.07</v>
      </c>
      <c r="K219" s="158"/>
      <c r="L219" s="158"/>
      <c r="M219" s="158"/>
      <c r="N219" s="158"/>
      <c r="O219" s="158"/>
      <c r="P219" s="498">
        <f>SUM(H220:O220)</f>
        <v>1135738.3900000001</v>
      </c>
      <c r="Q219" s="9"/>
      <c r="R219" s="9"/>
      <c r="S219" s="9"/>
      <c r="T219" s="9"/>
      <c r="U219" s="9"/>
      <c r="V219" s="9"/>
    </row>
    <row r="220" spans="1:22" s="13" customFormat="1" ht="117.75" customHeight="1" thickBot="1" x14ac:dyDescent="0.3">
      <c r="A220" s="399"/>
      <c r="B220" s="414"/>
      <c r="C220" s="497"/>
      <c r="D220" s="188">
        <v>771</v>
      </c>
      <c r="E220" s="187" t="s">
        <v>294</v>
      </c>
      <c r="F220" s="187" t="s">
        <v>284</v>
      </c>
      <c r="G220" s="187" t="s">
        <v>294</v>
      </c>
      <c r="H220" s="154"/>
      <c r="I220" s="154"/>
      <c r="J220" s="154"/>
      <c r="K220" s="155">
        <f>K221+SUM(K228:K231)+K232+K239+SUM(K243:K244)+K245+K246</f>
        <v>228290.87</v>
      </c>
      <c r="L220" s="155">
        <f t="shared" ref="L220:O220" si="79">L221+SUM(L228:L231)+L232+L239+SUM(L243:L244)+L245+L246</f>
        <v>226861.88</v>
      </c>
      <c r="M220" s="155">
        <f t="shared" si="79"/>
        <v>226861.88</v>
      </c>
      <c r="N220" s="155">
        <f t="shared" si="79"/>
        <v>226861.88</v>
      </c>
      <c r="O220" s="155">
        <f t="shared" si="79"/>
        <v>226861.88</v>
      </c>
      <c r="P220" s="461"/>
      <c r="Q220" s="9"/>
      <c r="R220" s="9"/>
      <c r="S220" s="9"/>
      <c r="T220" s="9"/>
      <c r="U220" s="9"/>
      <c r="V220" s="9"/>
    </row>
    <row r="221" spans="1:22" s="13" customFormat="1" ht="180.75" customHeight="1" thickBot="1" x14ac:dyDescent="0.25">
      <c r="A221" s="260" t="s">
        <v>233</v>
      </c>
      <c r="B221" s="348" t="s">
        <v>251</v>
      </c>
      <c r="C221" s="349" t="s">
        <v>20</v>
      </c>
      <c r="D221" s="163">
        <v>771</v>
      </c>
      <c r="E221" s="162" t="s">
        <v>76</v>
      </c>
      <c r="F221" s="162" t="s">
        <v>294</v>
      </c>
      <c r="G221" s="162" t="s">
        <v>283</v>
      </c>
      <c r="H221" s="250">
        <f t="shared" ref="H221:O221" si="80">SUM(H222:H227)</f>
        <v>281511.33</v>
      </c>
      <c r="I221" s="250">
        <f t="shared" si="80"/>
        <v>322585.69999999995</v>
      </c>
      <c r="J221" s="250">
        <f t="shared" si="80"/>
        <v>151467.28</v>
      </c>
      <c r="K221" s="250">
        <f t="shared" si="80"/>
        <v>155957.28</v>
      </c>
      <c r="L221" s="250">
        <f t="shared" si="80"/>
        <v>154967.28</v>
      </c>
      <c r="M221" s="250">
        <f t="shared" si="80"/>
        <v>154967.28</v>
      </c>
      <c r="N221" s="250">
        <f t="shared" si="80"/>
        <v>154967.28</v>
      </c>
      <c r="O221" s="250">
        <f t="shared" si="80"/>
        <v>154967.28</v>
      </c>
      <c r="P221" s="250">
        <f>SUM(H221:O221)</f>
        <v>1531390.7100000002</v>
      </c>
      <c r="Q221" s="9"/>
      <c r="R221" s="9"/>
      <c r="S221" s="9"/>
      <c r="T221" s="9"/>
      <c r="U221" s="9"/>
      <c r="V221" s="9"/>
    </row>
    <row r="222" spans="1:22" s="47" customFormat="1" ht="33" customHeight="1" x14ac:dyDescent="0.25">
      <c r="A222" s="397" t="s">
        <v>234</v>
      </c>
      <c r="B222" s="400" t="s">
        <v>144</v>
      </c>
      <c r="C222" s="400" t="s">
        <v>20</v>
      </c>
      <c r="D222" s="244">
        <v>771</v>
      </c>
      <c r="E222" s="245" t="s">
        <v>76</v>
      </c>
      <c r="F222" s="244">
        <v>4539900</v>
      </c>
      <c r="G222" s="338" t="s">
        <v>78</v>
      </c>
      <c r="H222" s="350">
        <v>190596.53</v>
      </c>
      <c r="I222" s="350"/>
      <c r="J222" s="350"/>
      <c r="K222" s="350"/>
      <c r="L222" s="350"/>
      <c r="M222" s="350"/>
      <c r="N222" s="350"/>
      <c r="O222" s="350"/>
      <c r="P222" s="407">
        <f>SUM(H222:O224)</f>
        <v>1123226.1100000001</v>
      </c>
      <c r="Q222" s="9"/>
      <c r="R222" s="3"/>
      <c r="S222" s="3"/>
      <c r="T222" s="3"/>
      <c r="U222" s="3"/>
      <c r="V222" s="3"/>
    </row>
    <row r="223" spans="1:22" s="10" customFormat="1" ht="33" customHeight="1" x14ac:dyDescent="0.25">
      <c r="A223" s="398"/>
      <c r="B223" s="393"/>
      <c r="C223" s="393"/>
      <c r="D223" s="106" t="s">
        <v>29</v>
      </c>
      <c r="E223" s="239" t="s">
        <v>76</v>
      </c>
      <c r="F223" s="106">
        <v>1197059</v>
      </c>
      <c r="G223" s="339" t="s">
        <v>78</v>
      </c>
      <c r="H223" s="252"/>
      <c r="I223" s="252">
        <v>133190.9</v>
      </c>
      <c r="J223" s="252">
        <v>129696.28</v>
      </c>
      <c r="K223" s="252"/>
      <c r="L223" s="252"/>
      <c r="M223" s="252"/>
      <c r="N223" s="252"/>
      <c r="O223" s="252"/>
      <c r="P223" s="395"/>
      <c r="Q223" s="9"/>
      <c r="R223" s="3"/>
      <c r="S223" s="3"/>
      <c r="T223" s="3"/>
      <c r="U223" s="3"/>
      <c r="V223" s="3"/>
    </row>
    <row r="224" spans="1:22" s="10" customFormat="1" ht="33" customHeight="1" thickBot="1" x14ac:dyDescent="0.3">
      <c r="A224" s="399"/>
      <c r="B224" s="394"/>
      <c r="C224" s="394"/>
      <c r="D224" s="246">
        <v>771</v>
      </c>
      <c r="E224" s="247" t="s">
        <v>76</v>
      </c>
      <c r="F224" s="246">
        <v>1160370590</v>
      </c>
      <c r="G224" s="341" t="s">
        <v>78</v>
      </c>
      <c r="H224" s="258"/>
      <c r="I224" s="258"/>
      <c r="J224" s="258"/>
      <c r="K224" s="258">
        <f>133196.28+3761</f>
        <v>136957.28</v>
      </c>
      <c r="L224" s="258">
        <v>133196.28</v>
      </c>
      <c r="M224" s="258">
        <v>133196.28</v>
      </c>
      <c r="N224" s="258">
        <v>133196.28</v>
      </c>
      <c r="O224" s="258">
        <v>133196.28</v>
      </c>
      <c r="P224" s="396"/>
      <c r="Q224" s="9"/>
      <c r="R224" s="3"/>
      <c r="S224" s="3"/>
      <c r="T224" s="3"/>
      <c r="U224" s="3"/>
      <c r="V224" s="3"/>
    </row>
    <row r="225" spans="1:22" s="10" customFormat="1" ht="33" customHeight="1" x14ac:dyDescent="0.25">
      <c r="A225" s="397" t="s">
        <v>235</v>
      </c>
      <c r="B225" s="400" t="s">
        <v>79</v>
      </c>
      <c r="C225" s="400" t="s">
        <v>20</v>
      </c>
      <c r="D225" s="244">
        <v>771</v>
      </c>
      <c r="E225" s="245" t="s">
        <v>76</v>
      </c>
      <c r="F225" s="244">
        <v>4539900</v>
      </c>
      <c r="G225" s="338" t="s">
        <v>65</v>
      </c>
      <c r="H225" s="250">
        <v>90914.8</v>
      </c>
      <c r="I225" s="249"/>
      <c r="J225" s="249"/>
      <c r="K225" s="249"/>
      <c r="L225" s="249"/>
      <c r="M225" s="249"/>
      <c r="N225" s="249"/>
      <c r="O225" s="249"/>
      <c r="P225" s="407">
        <f>SUM(H225:O227)</f>
        <v>408164.6</v>
      </c>
      <c r="Q225" s="9"/>
      <c r="R225" s="3"/>
      <c r="S225" s="3"/>
      <c r="T225" s="3"/>
      <c r="U225" s="3"/>
      <c r="V225" s="3"/>
    </row>
    <row r="226" spans="1:22" s="10" customFormat="1" ht="33" customHeight="1" x14ac:dyDescent="0.25">
      <c r="A226" s="398"/>
      <c r="B226" s="393"/>
      <c r="C226" s="393"/>
      <c r="D226" s="106" t="s">
        <v>29</v>
      </c>
      <c r="E226" s="239" t="s">
        <v>76</v>
      </c>
      <c r="F226" s="106">
        <v>1197061</v>
      </c>
      <c r="G226" s="339" t="s">
        <v>65</v>
      </c>
      <c r="H226" s="252"/>
      <c r="I226" s="252">
        <f>186214.8+1200+1980</f>
        <v>189394.8</v>
      </c>
      <c r="J226" s="252">
        <f>188994.8-167223.8</f>
        <v>21771</v>
      </c>
      <c r="K226" s="252"/>
      <c r="L226" s="252"/>
      <c r="M226" s="252"/>
      <c r="N226" s="252"/>
      <c r="O226" s="252"/>
      <c r="P226" s="395"/>
      <c r="Q226" s="9"/>
      <c r="R226" s="3"/>
      <c r="S226" s="3"/>
      <c r="T226" s="3"/>
      <c r="U226" s="3"/>
      <c r="V226" s="3"/>
    </row>
    <row r="227" spans="1:22" s="10" customFormat="1" ht="33" customHeight="1" thickBot="1" x14ac:dyDescent="0.3">
      <c r="A227" s="399"/>
      <c r="B227" s="394"/>
      <c r="C227" s="394"/>
      <c r="D227" s="246" t="s">
        <v>29</v>
      </c>
      <c r="E227" s="247" t="s">
        <v>76</v>
      </c>
      <c r="F227" s="246">
        <v>1160370610</v>
      </c>
      <c r="G227" s="341" t="s">
        <v>65</v>
      </c>
      <c r="H227" s="258"/>
      <c r="I227" s="258"/>
      <c r="J227" s="258"/>
      <c r="K227" s="258">
        <f>21771-2771</f>
        <v>19000</v>
      </c>
      <c r="L227" s="258">
        <v>21771</v>
      </c>
      <c r="M227" s="258">
        <v>21771</v>
      </c>
      <c r="N227" s="258">
        <v>21771</v>
      </c>
      <c r="O227" s="258">
        <v>21771</v>
      </c>
      <c r="P227" s="396"/>
      <c r="Q227" s="9"/>
      <c r="R227" s="3"/>
      <c r="S227" s="3"/>
      <c r="T227" s="3"/>
      <c r="U227" s="3"/>
      <c r="V227" s="3"/>
    </row>
    <row r="228" spans="1:22" s="10" customFormat="1" ht="50.1" customHeight="1" x14ac:dyDescent="0.25">
      <c r="A228" s="487" t="s">
        <v>236</v>
      </c>
      <c r="B228" s="490" t="s">
        <v>380</v>
      </c>
      <c r="C228" s="491" t="s">
        <v>20</v>
      </c>
      <c r="D228" s="351">
        <v>771</v>
      </c>
      <c r="E228" s="352" t="s">
        <v>30</v>
      </c>
      <c r="F228" s="353" t="s">
        <v>252</v>
      </c>
      <c r="G228" s="239" t="s">
        <v>119</v>
      </c>
      <c r="H228" s="195">
        <v>0</v>
      </c>
      <c r="I228" s="195">
        <v>0</v>
      </c>
      <c r="J228" s="195">
        <v>0</v>
      </c>
      <c r="K228" s="195">
        <v>11198.48</v>
      </c>
      <c r="L228" s="195">
        <v>10310.209999999999</v>
      </c>
      <c r="M228" s="195">
        <v>10310.209999999999</v>
      </c>
      <c r="N228" s="195">
        <v>10310.209999999999</v>
      </c>
      <c r="O228" s="195">
        <v>10310.209999999999</v>
      </c>
      <c r="P228" s="195">
        <f t="shared" ref="P228:P232" si="81">SUM(H228:O228)</f>
        <v>52439.32</v>
      </c>
      <c r="Q228" s="9"/>
      <c r="R228" s="3"/>
      <c r="S228" s="3"/>
      <c r="T228" s="3"/>
      <c r="U228" s="3"/>
      <c r="V228" s="3"/>
    </row>
    <row r="229" spans="1:22" s="10" customFormat="1" ht="50.1" customHeight="1" x14ac:dyDescent="0.25">
      <c r="A229" s="488"/>
      <c r="B229" s="491"/>
      <c r="C229" s="491"/>
      <c r="D229" s="351">
        <v>771</v>
      </c>
      <c r="E229" s="352" t="s">
        <v>30</v>
      </c>
      <c r="F229" s="353" t="s">
        <v>252</v>
      </c>
      <c r="G229" s="239" t="s">
        <v>120</v>
      </c>
      <c r="H229" s="195">
        <v>0</v>
      </c>
      <c r="I229" s="195">
        <v>0</v>
      </c>
      <c r="J229" s="195">
        <v>0</v>
      </c>
      <c r="K229" s="195">
        <f>60+840+600</f>
        <v>1500</v>
      </c>
      <c r="L229" s="195">
        <v>57.3</v>
      </c>
      <c r="M229" s="195">
        <v>57.3</v>
      </c>
      <c r="N229" s="195">
        <v>57.3</v>
      </c>
      <c r="O229" s="195">
        <v>57.3</v>
      </c>
      <c r="P229" s="195">
        <f t="shared" si="81"/>
        <v>1729.1999999999998</v>
      </c>
      <c r="Q229" s="9"/>
      <c r="R229" s="3"/>
      <c r="S229" s="3"/>
      <c r="T229" s="3"/>
      <c r="U229" s="3"/>
      <c r="V229" s="3"/>
    </row>
    <row r="230" spans="1:22" s="10" customFormat="1" ht="50.1" customHeight="1" x14ac:dyDescent="0.25">
      <c r="A230" s="488"/>
      <c r="B230" s="491"/>
      <c r="C230" s="491"/>
      <c r="D230" s="351">
        <v>771</v>
      </c>
      <c r="E230" s="352" t="s">
        <v>30</v>
      </c>
      <c r="F230" s="353" t="s">
        <v>252</v>
      </c>
      <c r="G230" s="239" t="s">
        <v>246</v>
      </c>
      <c r="H230" s="195">
        <v>0</v>
      </c>
      <c r="I230" s="195">
        <v>0</v>
      </c>
      <c r="J230" s="195">
        <v>0</v>
      </c>
      <c r="K230" s="195">
        <v>3418.16</v>
      </c>
      <c r="L230" s="195">
        <f>13459.8-L228</f>
        <v>3149.59</v>
      </c>
      <c r="M230" s="195">
        <f>13459.8-M228</f>
        <v>3149.59</v>
      </c>
      <c r="N230" s="195">
        <f t="shared" ref="N230:O230" si="82">13459.8-N228</f>
        <v>3149.59</v>
      </c>
      <c r="O230" s="195">
        <f t="shared" si="82"/>
        <v>3149.59</v>
      </c>
      <c r="P230" s="195">
        <f t="shared" si="81"/>
        <v>16016.52</v>
      </c>
      <c r="Q230" s="9"/>
      <c r="R230" s="3"/>
      <c r="S230" s="3"/>
      <c r="T230" s="3"/>
      <c r="U230" s="3"/>
      <c r="V230" s="3"/>
    </row>
    <row r="231" spans="1:22" s="47" customFormat="1" ht="78.75" customHeight="1" thickBot="1" x14ac:dyDescent="0.3">
      <c r="A231" s="489"/>
      <c r="B231" s="492"/>
      <c r="C231" s="493"/>
      <c r="D231" s="354">
        <v>771</v>
      </c>
      <c r="E231" s="355" t="s">
        <v>30</v>
      </c>
      <c r="F231" s="356" t="s">
        <v>252</v>
      </c>
      <c r="G231" s="242" t="s">
        <v>28</v>
      </c>
      <c r="H231" s="179">
        <v>0</v>
      </c>
      <c r="I231" s="179">
        <v>0</v>
      </c>
      <c r="J231" s="179">
        <v>0</v>
      </c>
      <c r="K231" s="179">
        <f>6043.7-840+423.3-600</f>
        <v>5027</v>
      </c>
      <c r="L231" s="179">
        <v>5574.8</v>
      </c>
      <c r="M231" s="179">
        <v>5574.8</v>
      </c>
      <c r="N231" s="179">
        <v>5574.8</v>
      </c>
      <c r="O231" s="179">
        <v>5574.8</v>
      </c>
      <c r="P231" s="179">
        <f t="shared" si="81"/>
        <v>27326.199999999997</v>
      </c>
      <c r="Q231" s="9"/>
      <c r="R231" s="3"/>
      <c r="S231" s="3"/>
      <c r="T231" s="3"/>
      <c r="U231" s="3"/>
      <c r="V231" s="3"/>
    </row>
    <row r="232" spans="1:22" s="47" customFormat="1" ht="205.5" customHeight="1" thickBot="1" x14ac:dyDescent="0.3">
      <c r="A232" s="276" t="s">
        <v>237</v>
      </c>
      <c r="B232" s="144" t="s">
        <v>253</v>
      </c>
      <c r="C232" s="141" t="s">
        <v>20</v>
      </c>
      <c r="D232" s="160">
        <v>771</v>
      </c>
      <c r="E232" s="142" t="s">
        <v>77</v>
      </c>
      <c r="F232" s="142" t="s">
        <v>294</v>
      </c>
      <c r="G232" s="161" t="s">
        <v>294</v>
      </c>
      <c r="H232" s="357">
        <f>SUM(H233:H238)</f>
        <v>17597.27</v>
      </c>
      <c r="I232" s="357">
        <f t="shared" ref="I232:O232" si="83">SUM(I233:I238)</f>
        <v>24196.38</v>
      </c>
      <c r="J232" s="357">
        <f t="shared" si="83"/>
        <v>29927.7</v>
      </c>
      <c r="K232" s="357">
        <f t="shared" si="83"/>
        <v>22074.26</v>
      </c>
      <c r="L232" s="357">
        <f t="shared" si="83"/>
        <v>23352.7</v>
      </c>
      <c r="M232" s="357">
        <f t="shared" si="83"/>
        <v>23352.7</v>
      </c>
      <c r="N232" s="357">
        <f t="shared" si="83"/>
        <v>23352.7</v>
      </c>
      <c r="O232" s="357">
        <f t="shared" si="83"/>
        <v>23352.7</v>
      </c>
      <c r="P232" s="357">
        <f t="shared" si="81"/>
        <v>187206.41000000003</v>
      </c>
      <c r="Q232" s="9"/>
      <c r="R232" s="3"/>
      <c r="S232" s="3"/>
      <c r="T232" s="3"/>
      <c r="U232" s="3"/>
      <c r="V232" s="3"/>
    </row>
    <row r="233" spans="1:22" s="10" customFormat="1" ht="44.45" customHeight="1" x14ac:dyDescent="0.25">
      <c r="A233" s="397" t="s">
        <v>238</v>
      </c>
      <c r="B233" s="400" t="s">
        <v>146</v>
      </c>
      <c r="C233" s="400" t="s">
        <v>20</v>
      </c>
      <c r="D233" s="244">
        <v>771</v>
      </c>
      <c r="E233" s="245" t="s">
        <v>77</v>
      </c>
      <c r="F233" s="244">
        <v>4579900</v>
      </c>
      <c r="G233" s="338" t="s">
        <v>78</v>
      </c>
      <c r="H233" s="250">
        <v>16172.27</v>
      </c>
      <c r="I233" s="249"/>
      <c r="J233" s="249"/>
      <c r="K233" s="249"/>
      <c r="L233" s="249"/>
      <c r="M233" s="249"/>
      <c r="N233" s="249"/>
      <c r="O233" s="249"/>
      <c r="P233" s="407">
        <f>SUM(H233:O235)</f>
        <v>181806.41000000003</v>
      </c>
      <c r="Q233" s="9"/>
      <c r="R233" s="3"/>
      <c r="S233" s="3"/>
      <c r="T233" s="3"/>
      <c r="U233" s="3"/>
      <c r="V233" s="3"/>
    </row>
    <row r="234" spans="1:22" s="10" customFormat="1" ht="44.45" customHeight="1" x14ac:dyDescent="0.25">
      <c r="A234" s="398"/>
      <c r="B234" s="393"/>
      <c r="C234" s="393"/>
      <c r="D234" s="237">
        <v>771</v>
      </c>
      <c r="E234" s="238" t="s">
        <v>77</v>
      </c>
      <c r="F234" s="237">
        <v>1197059</v>
      </c>
      <c r="G234" s="358" t="s">
        <v>43</v>
      </c>
      <c r="H234" s="252"/>
      <c r="I234" s="252">
        <v>22771.38</v>
      </c>
      <c r="J234" s="252">
        <f>27266-1363.3+3600</f>
        <v>29502.7</v>
      </c>
      <c r="K234" s="200"/>
      <c r="L234" s="252"/>
      <c r="M234" s="252"/>
      <c r="N234" s="252"/>
      <c r="O234" s="252"/>
      <c r="P234" s="395"/>
      <c r="Q234" s="9"/>
      <c r="R234" s="3"/>
      <c r="S234" s="3"/>
      <c r="T234" s="3"/>
      <c r="U234" s="3"/>
      <c r="V234" s="3"/>
    </row>
    <row r="235" spans="1:22" s="10" customFormat="1" ht="44.45" customHeight="1" thickBot="1" x14ac:dyDescent="0.3">
      <c r="A235" s="399"/>
      <c r="B235" s="394"/>
      <c r="C235" s="394"/>
      <c r="D235" s="359">
        <v>771</v>
      </c>
      <c r="E235" s="360" t="s">
        <v>77</v>
      </c>
      <c r="F235" s="359">
        <v>1160370590</v>
      </c>
      <c r="G235" s="361" t="s">
        <v>43</v>
      </c>
      <c r="H235" s="258"/>
      <c r="I235" s="258"/>
      <c r="J235" s="258"/>
      <c r="K235" s="258">
        <v>21649.26</v>
      </c>
      <c r="L235" s="258">
        <v>22927.7</v>
      </c>
      <c r="M235" s="258">
        <v>22927.7</v>
      </c>
      <c r="N235" s="258">
        <v>22927.7</v>
      </c>
      <c r="O235" s="258">
        <v>22927.7</v>
      </c>
      <c r="P235" s="396"/>
      <c r="Q235" s="9"/>
      <c r="R235" s="3"/>
      <c r="S235" s="3"/>
      <c r="T235" s="3"/>
      <c r="U235" s="3"/>
      <c r="V235" s="3"/>
    </row>
    <row r="236" spans="1:22" s="10" customFormat="1" ht="44.25" customHeight="1" x14ac:dyDescent="0.25">
      <c r="A236" s="398" t="s">
        <v>239</v>
      </c>
      <c r="B236" s="393" t="s">
        <v>335</v>
      </c>
      <c r="C236" s="393" t="s">
        <v>20</v>
      </c>
      <c r="D236" s="237">
        <v>771</v>
      </c>
      <c r="E236" s="238" t="s">
        <v>77</v>
      </c>
      <c r="F236" s="237">
        <v>4579900</v>
      </c>
      <c r="G236" s="358" t="s">
        <v>65</v>
      </c>
      <c r="H236" s="266">
        <v>1425</v>
      </c>
      <c r="I236" s="267"/>
      <c r="J236" s="267"/>
      <c r="K236" s="267"/>
      <c r="L236" s="267"/>
      <c r="M236" s="267"/>
      <c r="N236" s="267"/>
      <c r="O236" s="267"/>
      <c r="P236" s="395">
        <f>SUM(H236:O238)</f>
        <v>5400</v>
      </c>
      <c r="Q236" s="9"/>
      <c r="R236" s="3"/>
      <c r="S236" s="3"/>
      <c r="T236" s="3"/>
      <c r="U236" s="3"/>
      <c r="V236" s="3"/>
    </row>
    <row r="237" spans="1:22" s="10" customFormat="1" ht="44.25" customHeight="1" x14ac:dyDescent="0.25">
      <c r="A237" s="398"/>
      <c r="B237" s="393"/>
      <c r="C237" s="393"/>
      <c r="D237" s="106">
        <v>771</v>
      </c>
      <c r="E237" s="239" t="s">
        <v>77</v>
      </c>
      <c r="F237" s="106">
        <v>1197061</v>
      </c>
      <c r="G237" s="339" t="s">
        <v>46</v>
      </c>
      <c r="H237" s="252"/>
      <c r="I237" s="252">
        <v>1425</v>
      </c>
      <c r="J237" s="252">
        <v>425</v>
      </c>
      <c r="K237" s="252"/>
      <c r="L237" s="252"/>
      <c r="M237" s="252"/>
      <c r="N237" s="252"/>
      <c r="O237" s="252"/>
      <c r="P237" s="395"/>
      <c r="Q237" s="9"/>
      <c r="R237" s="3"/>
      <c r="S237" s="3"/>
      <c r="T237" s="3"/>
      <c r="U237" s="3"/>
      <c r="V237" s="3"/>
    </row>
    <row r="238" spans="1:22" s="10" customFormat="1" ht="44.25" customHeight="1" thickBot="1" x14ac:dyDescent="0.3">
      <c r="A238" s="398"/>
      <c r="B238" s="393"/>
      <c r="C238" s="393"/>
      <c r="D238" s="241">
        <v>771</v>
      </c>
      <c r="E238" s="242" t="s">
        <v>77</v>
      </c>
      <c r="F238" s="241">
        <v>1160370610</v>
      </c>
      <c r="G238" s="340" t="s">
        <v>46</v>
      </c>
      <c r="H238" s="255"/>
      <c r="I238" s="255"/>
      <c r="J238" s="255"/>
      <c r="K238" s="255">
        <v>425</v>
      </c>
      <c r="L238" s="255">
        <v>425</v>
      </c>
      <c r="M238" s="255">
        <v>425</v>
      </c>
      <c r="N238" s="255">
        <v>425</v>
      </c>
      <c r="O238" s="255">
        <v>425</v>
      </c>
      <c r="P238" s="395"/>
      <c r="Q238" s="9"/>
      <c r="R238" s="3"/>
      <c r="S238" s="3"/>
      <c r="T238" s="3"/>
      <c r="U238" s="3"/>
      <c r="V238" s="3"/>
    </row>
    <row r="239" spans="1:22" s="10" customFormat="1" ht="99.75" customHeight="1" thickBot="1" x14ac:dyDescent="0.3">
      <c r="A239" s="362" t="s">
        <v>240</v>
      </c>
      <c r="B239" s="203" t="s">
        <v>273</v>
      </c>
      <c r="C239" s="141" t="s">
        <v>20</v>
      </c>
      <c r="D239" s="160">
        <v>771</v>
      </c>
      <c r="E239" s="142" t="s">
        <v>76</v>
      </c>
      <c r="F239" s="142" t="s">
        <v>118</v>
      </c>
      <c r="G239" s="161" t="s">
        <v>274</v>
      </c>
      <c r="H239" s="357">
        <f>SUM(H240:H242)</f>
        <v>0</v>
      </c>
      <c r="I239" s="357">
        <f t="shared" ref="I239:O239" si="84">SUM(I240:I242)</f>
        <v>120</v>
      </c>
      <c r="J239" s="357">
        <f t="shared" si="84"/>
        <v>17128.09</v>
      </c>
      <c r="K239" s="357">
        <f t="shared" si="84"/>
        <v>0</v>
      </c>
      <c r="L239" s="357">
        <f t="shared" si="84"/>
        <v>0</v>
      </c>
      <c r="M239" s="357">
        <f t="shared" si="84"/>
        <v>0</v>
      </c>
      <c r="N239" s="357">
        <f t="shared" si="84"/>
        <v>0</v>
      </c>
      <c r="O239" s="357">
        <f t="shared" si="84"/>
        <v>0</v>
      </c>
      <c r="P239" s="205">
        <f>SUM(H239:O239)</f>
        <v>17248.09</v>
      </c>
      <c r="Q239" s="9"/>
      <c r="R239" s="3"/>
      <c r="S239" s="3"/>
      <c r="T239" s="3"/>
      <c r="U239" s="3"/>
      <c r="V239" s="3"/>
    </row>
    <row r="240" spans="1:22" s="10" customFormat="1" ht="101.25" customHeight="1" thickBot="1" x14ac:dyDescent="0.3">
      <c r="A240" s="362" t="s">
        <v>270</v>
      </c>
      <c r="B240" s="141" t="s">
        <v>145</v>
      </c>
      <c r="C240" s="141" t="s">
        <v>20</v>
      </c>
      <c r="D240" s="256">
        <v>771</v>
      </c>
      <c r="E240" s="257" t="s">
        <v>76</v>
      </c>
      <c r="F240" s="256">
        <v>1197059</v>
      </c>
      <c r="G240" s="343" t="s">
        <v>43</v>
      </c>
      <c r="H240" s="205">
        <v>0</v>
      </c>
      <c r="I240" s="205">
        <f>2000-2000</f>
        <v>0</v>
      </c>
      <c r="J240" s="205">
        <f>0+12318.09</f>
        <v>12318.09</v>
      </c>
      <c r="K240" s="205">
        <v>0</v>
      </c>
      <c r="L240" s="205">
        <v>0</v>
      </c>
      <c r="M240" s="205">
        <v>0</v>
      </c>
      <c r="N240" s="205">
        <v>0</v>
      </c>
      <c r="O240" s="205">
        <v>0</v>
      </c>
      <c r="P240" s="205">
        <f>SUM(H240:O240)</f>
        <v>12318.09</v>
      </c>
      <c r="Q240" s="9"/>
      <c r="R240" s="3"/>
      <c r="S240" s="3"/>
      <c r="T240" s="3"/>
      <c r="U240" s="3"/>
      <c r="V240" s="3"/>
    </row>
    <row r="241" spans="1:22" s="10" customFormat="1" ht="99.75" customHeight="1" thickBot="1" x14ac:dyDescent="0.3">
      <c r="A241" s="362" t="s">
        <v>271</v>
      </c>
      <c r="B241" s="141" t="s">
        <v>392</v>
      </c>
      <c r="C241" s="141" t="s">
        <v>20</v>
      </c>
      <c r="D241" s="256">
        <v>771</v>
      </c>
      <c r="E241" s="257" t="s">
        <v>76</v>
      </c>
      <c r="F241" s="160">
        <v>1197059</v>
      </c>
      <c r="G241" s="257" t="s">
        <v>46</v>
      </c>
      <c r="H241" s="205">
        <v>0</v>
      </c>
      <c r="I241" s="205">
        <v>0</v>
      </c>
      <c r="J241" s="205">
        <f>0+4810</f>
        <v>4810</v>
      </c>
      <c r="K241" s="205">
        <v>0</v>
      </c>
      <c r="L241" s="205">
        <v>0</v>
      </c>
      <c r="M241" s="205">
        <v>0</v>
      </c>
      <c r="N241" s="205">
        <v>0</v>
      </c>
      <c r="O241" s="205">
        <v>0</v>
      </c>
      <c r="P241" s="205">
        <f>SUM(H241:O241)</f>
        <v>4810</v>
      </c>
      <c r="Q241" s="9"/>
      <c r="R241" s="3"/>
      <c r="S241" s="3"/>
      <c r="T241" s="3"/>
      <c r="U241" s="3"/>
      <c r="V241" s="3"/>
    </row>
    <row r="242" spans="1:22" s="10" customFormat="1" ht="102" customHeight="1" thickBot="1" x14ac:dyDescent="0.3">
      <c r="A242" s="363" t="s">
        <v>272</v>
      </c>
      <c r="B242" s="144" t="s">
        <v>136</v>
      </c>
      <c r="C242" s="144" t="s">
        <v>20</v>
      </c>
      <c r="D242" s="364">
        <v>771</v>
      </c>
      <c r="E242" s="365" t="s">
        <v>76</v>
      </c>
      <c r="F242" s="364">
        <v>1197059</v>
      </c>
      <c r="G242" s="366" t="s">
        <v>46</v>
      </c>
      <c r="H242" s="310">
        <v>0</v>
      </c>
      <c r="I242" s="310">
        <f>1000-880</f>
        <v>120</v>
      </c>
      <c r="J242" s="310">
        <f>120-120</f>
        <v>0</v>
      </c>
      <c r="K242" s="310">
        <f t="shared" ref="K242:O242" si="85">120-120</f>
        <v>0</v>
      </c>
      <c r="L242" s="310">
        <f t="shared" si="85"/>
        <v>0</v>
      </c>
      <c r="M242" s="310">
        <f t="shared" si="85"/>
        <v>0</v>
      </c>
      <c r="N242" s="310">
        <f t="shared" si="85"/>
        <v>0</v>
      </c>
      <c r="O242" s="310">
        <f t="shared" si="85"/>
        <v>0</v>
      </c>
      <c r="P242" s="310">
        <f>SUM(H242:O242)</f>
        <v>120</v>
      </c>
      <c r="Q242" s="9"/>
      <c r="R242" s="3"/>
      <c r="S242" s="3"/>
      <c r="T242" s="3"/>
      <c r="U242" s="3"/>
      <c r="V242" s="3"/>
    </row>
    <row r="243" spans="1:22" s="10" customFormat="1" ht="95.25" customHeight="1" x14ac:dyDescent="0.25">
      <c r="A243" s="478" t="s">
        <v>241</v>
      </c>
      <c r="B243" s="483" t="s">
        <v>254</v>
      </c>
      <c r="C243" s="485" t="s">
        <v>20</v>
      </c>
      <c r="D243" s="367">
        <v>771</v>
      </c>
      <c r="E243" s="368" t="s">
        <v>30</v>
      </c>
      <c r="F243" s="368" t="s">
        <v>148</v>
      </c>
      <c r="G243" s="368" t="s">
        <v>147</v>
      </c>
      <c r="H243" s="250">
        <v>0</v>
      </c>
      <c r="I243" s="250">
        <v>0</v>
      </c>
      <c r="J243" s="250">
        <f>24450-7900</f>
        <v>16550</v>
      </c>
      <c r="K243" s="249"/>
      <c r="L243" s="249"/>
      <c r="M243" s="249"/>
      <c r="N243" s="249"/>
      <c r="O243" s="249"/>
      <c r="P243" s="428">
        <f>SUM(H243:O244)</f>
        <v>158465.69</v>
      </c>
      <c r="Q243" s="9"/>
      <c r="R243" s="3"/>
      <c r="S243" s="3"/>
      <c r="T243" s="3"/>
      <c r="U243" s="3"/>
      <c r="V243" s="3"/>
    </row>
    <row r="244" spans="1:22" s="10" customFormat="1" ht="81.95" customHeight="1" thickBot="1" x14ac:dyDescent="0.3">
      <c r="A244" s="479"/>
      <c r="B244" s="484"/>
      <c r="C244" s="486"/>
      <c r="D244" s="369">
        <v>771</v>
      </c>
      <c r="E244" s="369">
        <v>1204</v>
      </c>
      <c r="F244" s="369">
        <v>1160360870</v>
      </c>
      <c r="G244" s="370" t="s">
        <v>147</v>
      </c>
      <c r="H244" s="258"/>
      <c r="I244" s="258"/>
      <c r="J244" s="258"/>
      <c r="K244" s="258">
        <f>29115.69-5000</f>
        <v>24115.69</v>
      </c>
      <c r="L244" s="258">
        <v>29450</v>
      </c>
      <c r="M244" s="371">
        <v>29450</v>
      </c>
      <c r="N244" s="371">
        <v>29450</v>
      </c>
      <c r="O244" s="371">
        <v>29450</v>
      </c>
      <c r="P244" s="429"/>
      <c r="Q244" s="9"/>
      <c r="R244" s="3"/>
      <c r="S244" s="3"/>
      <c r="T244" s="3"/>
      <c r="U244" s="3"/>
      <c r="V244" s="3"/>
    </row>
    <row r="245" spans="1:22" s="10" customFormat="1" ht="63.75" customHeight="1" thickBot="1" x14ac:dyDescent="0.3">
      <c r="A245" s="422" t="s">
        <v>337</v>
      </c>
      <c r="B245" s="424" t="s">
        <v>358</v>
      </c>
      <c r="C245" s="400" t="s">
        <v>20</v>
      </c>
      <c r="D245" s="162">
        <v>771</v>
      </c>
      <c r="E245" s="162" t="s">
        <v>30</v>
      </c>
      <c r="F245" s="162" t="s">
        <v>342</v>
      </c>
      <c r="G245" s="162" t="s">
        <v>343</v>
      </c>
      <c r="H245" s="281"/>
      <c r="I245" s="281"/>
      <c r="J245" s="281"/>
      <c r="K245" s="165">
        <v>2000</v>
      </c>
      <c r="L245" s="281">
        <f t="shared" ref="L245:O246" si="86">120-120</f>
        <v>0</v>
      </c>
      <c r="M245" s="165">
        <f t="shared" si="86"/>
        <v>0</v>
      </c>
      <c r="N245" s="165">
        <f t="shared" si="86"/>
        <v>0</v>
      </c>
      <c r="O245" s="165">
        <f t="shared" si="86"/>
        <v>0</v>
      </c>
      <c r="P245" s="372">
        <f>SUM(K245:O245)</f>
        <v>2000</v>
      </c>
      <c r="Q245" s="9"/>
      <c r="R245" s="3"/>
      <c r="S245" s="3"/>
      <c r="T245" s="3"/>
      <c r="U245" s="3"/>
      <c r="V245" s="3"/>
    </row>
    <row r="246" spans="1:22" s="10" customFormat="1" ht="53.25" customHeight="1" thickBot="1" x14ac:dyDescent="0.3">
      <c r="A246" s="423"/>
      <c r="B246" s="425"/>
      <c r="C246" s="394"/>
      <c r="D246" s="160">
        <v>771</v>
      </c>
      <c r="E246" s="234" t="s">
        <v>30</v>
      </c>
      <c r="F246" s="234" t="s">
        <v>342</v>
      </c>
      <c r="G246" s="234" t="s">
        <v>344</v>
      </c>
      <c r="H246" s="298"/>
      <c r="I246" s="298"/>
      <c r="J246" s="298"/>
      <c r="K246" s="297">
        <v>3000</v>
      </c>
      <c r="L246" s="174">
        <f t="shared" si="86"/>
        <v>0</v>
      </c>
      <c r="M246" s="174">
        <f t="shared" si="86"/>
        <v>0</v>
      </c>
      <c r="N246" s="174">
        <f t="shared" si="86"/>
        <v>0</v>
      </c>
      <c r="O246" s="174">
        <f t="shared" si="86"/>
        <v>0</v>
      </c>
      <c r="P246" s="373">
        <f>SUM(K246:O246)</f>
        <v>3000</v>
      </c>
      <c r="Q246" s="9"/>
      <c r="R246" s="3"/>
      <c r="S246" s="3"/>
      <c r="T246" s="3"/>
      <c r="U246" s="3"/>
      <c r="V246" s="3"/>
    </row>
    <row r="247" spans="1:22" s="13" customFormat="1" ht="21" customHeight="1" thickBot="1" x14ac:dyDescent="0.25">
      <c r="A247" s="418" t="s">
        <v>168</v>
      </c>
      <c r="B247" s="415" t="s">
        <v>305</v>
      </c>
      <c r="C247" s="202" t="s">
        <v>27</v>
      </c>
      <c r="D247" s="202">
        <v>771</v>
      </c>
      <c r="E247" s="139" t="s">
        <v>294</v>
      </c>
      <c r="F247" s="139" t="s">
        <v>294</v>
      </c>
      <c r="G247" s="228" t="s">
        <v>294</v>
      </c>
      <c r="H247" s="157">
        <f>SUM(H248:H249)</f>
        <v>2300</v>
      </c>
      <c r="I247" s="157">
        <f>SUM(I248:I249)</f>
        <v>0</v>
      </c>
      <c r="J247" s="157">
        <f>SUM(J248:J249)</f>
        <v>11605.5</v>
      </c>
      <c r="K247" s="184">
        <f>SUM(K250:K261)</f>
        <v>14210.002999999999</v>
      </c>
      <c r="L247" s="184">
        <f t="shared" ref="L247:O247" si="87">SUM(L250:L261)</f>
        <v>15200.003000000001</v>
      </c>
      <c r="M247" s="184">
        <f t="shared" si="87"/>
        <v>15200.003000000001</v>
      </c>
      <c r="N247" s="184">
        <f t="shared" si="87"/>
        <v>15200.003000000001</v>
      </c>
      <c r="O247" s="184">
        <f t="shared" si="87"/>
        <v>15200.003000000001</v>
      </c>
      <c r="P247" s="374">
        <f>SUM(H247:O247)</f>
        <v>88915.514999999985</v>
      </c>
      <c r="Q247" s="9"/>
      <c r="R247" s="3"/>
      <c r="S247" s="3"/>
      <c r="T247" s="3"/>
      <c r="U247" s="3"/>
      <c r="V247" s="3"/>
    </row>
    <row r="248" spans="1:22" s="13" customFormat="1" ht="35.1" customHeight="1" x14ac:dyDescent="0.2">
      <c r="A248" s="419"/>
      <c r="B248" s="416"/>
      <c r="C248" s="412" t="s">
        <v>20</v>
      </c>
      <c r="D248" s="222">
        <v>771</v>
      </c>
      <c r="E248" s="151" t="s">
        <v>294</v>
      </c>
      <c r="F248" s="151" t="s">
        <v>294</v>
      </c>
      <c r="G248" s="151" t="s">
        <v>294</v>
      </c>
      <c r="H248" s="186">
        <f>SUM(H250:H261)</f>
        <v>2300</v>
      </c>
      <c r="I248" s="186">
        <f>SUM(I250:I261)</f>
        <v>0</v>
      </c>
      <c r="J248" s="186">
        <f>SUM(J250:J261)</f>
        <v>11605.5</v>
      </c>
      <c r="K248" s="186"/>
      <c r="L248" s="186"/>
      <c r="M248" s="186"/>
      <c r="N248" s="186"/>
      <c r="O248" s="186"/>
      <c r="P248" s="494">
        <f>SUM(H248:O249)</f>
        <v>88915.514999999985</v>
      </c>
      <c r="Q248" s="9"/>
      <c r="R248" s="3"/>
      <c r="S248" s="3"/>
      <c r="T248" s="3"/>
      <c r="U248" s="3"/>
      <c r="V248" s="3"/>
    </row>
    <row r="249" spans="1:22" s="13" customFormat="1" ht="49.5" customHeight="1" thickBot="1" x14ac:dyDescent="0.3">
      <c r="A249" s="420"/>
      <c r="B249" s="417"/>
      <c r="C249" s="414"/>
      <c r="D249" s="188">
        <v>771</v>
      </c>
      <c r="E249" s="187" t="s">
        <v>294</v>
      </c>
      <c r="F249" s="187" t="s">
        <v>281</v>
      </c>
      <c r="G249" s="187" t="s">
        <v>294</v>
      </c>
      <c r="H249" s="154"/>
      <c r="I249" s="154"/>
      <c r="J249" s="154"/>
      <c r="K249" s="189">
        <f>SUM(K250:K264)</f>
        <v>14210.002999999999</v>
      </c>
      <c r="L249" s="189">
        <f>SUM(L250:L261)+L260</f>
        <v>15200.003000000001</v>
      </c>
      <c r="M249" s="189">
        <f>SUM(M250:M261)+M260</f>
        <v>15200.003000000001</v>
      </c>
      <c r="N249" s="189">
        <f>SUM(N250:N261)+N260</f>
        <v>15200.003000000001</v>
      </c>
      <c r="O249" s="189">
        <f>SUM(O250:O261)+O260</f>
        <v>15200.003000000001</v>
      </c>
      <c r="P249" s="495"/>
      <c r="Q249" s="9"/>
      <c r="R249" s="3"/>
      <c r="S249" s="3"/>
      <c r="T249" s="3"/>
      <c r="U249" s="3"/>
      <c r="V249" s="3"/>
    </row>
    <row r="250" spans="1:22" s="10" customFormat="1" ht="24.75" customHeight="1" x14ac:dyDescent="0.25">
      <c r="A250" s="480" t="s">
        <v>242</v>
      </c>
      <c r="B250" s="424" t="s">
        <v>324</v>
      </c>
      <c r="C250" s="424" t="s">
        <v>20</v>
      </c>
      <c r="D250" s="367">
        <v>771</v>
      </c>
      <c r="E250" s="368" t="s">
        <v>30</v>
      </c>
      <c r="F250" s="368" t="s">
        <v>118</v>
      </c>
      <c r="G250" s="375" t="s">
        <v>119</v>
      </c>
      <c r="H250" s="250">
        <v>0</v>
      </c>
      <c r="I250" s="250">
        <v>0</v>
      </c>
      <c r="J250" s="250">
        <v>8006.66</v>
      </c>
      <c r="K250" s="249"/>
      <c r="L250" s="249"/>
      <c r="M250" s="249"/>
      <c r="N250" s="249"/>
      <c r="O250" s="249"/>
      <c r="P250" s="475">
        <f>SUM(H250:O258)</f>
        <v>86055.514999999985</v>
      </c>
      <c r="Q250" s="9"/>
      <c r="R250" s="3"/>
      <c r="S250" s="3"/>
      <c r="T250" s="3"/>
      <c r="U250" s="3"/>
      <c r="V250" s="3"/>
    </row>
    <row r="251" spans="1:22" s="10" customFormat="1" ht="24.75" customHeight="1" x14ac:dyDescent="0.25">
      <c r="A251" s="481"/>
      <c r="B251" s="449"/>
      <c r="C251" s="449"/>
      <c r="D251" s="376">
        <v>771</v>
      </c>
      <c r="E251" s="353" t="s">
        <v>30</v>
      </c>
      <c r="F251" s="353" t="s">
        <v>118</v>
      </c>
      <c r="G251" s="377" t="s">
        <v>120</v>
      </c>
      <c r="H251" s="252">
        <v>0</v>
      </c>
      <c r="I251" s="252">
        <v>0</v>
      </c>
      <c r="J251" s="252">
        <f>176-151</f>
        <v>25</v>
      </c>
      <c r="K251" s="200"/>
      <c r="L251" s="200"/>
      <c r="M251" s="200"/>
      <c r="N251" s="200"/>
      <c r="O251" s="200"/>
      <c r="P251" s="476"/>
      <c r="Q251" s="9"/>
      <c r="R251" s="3"/>
      <c r="S251" s="3"/>
      <c r="T251" s="3"/>
      <c r="U251" s="3"/>
      <c r="V251" s="3"/>
    </row>
    <row r="252" spans="1:22" s="10" customFormat="1" ht="22.5" customHeight="1" x14ac:dyDescent="0.25">
      <c r="A252" s="481"/>
      <c r="B252" s="449"/>
      <c r="C252" s="449"/>
      <c r="D252" s="376">
        <v>771</v>
      </c>
      <c r="E252" s="353" t="s">
        <v>30</v>
      </c>
      <c r="F252" s="353" t="s">
        <v>118</v>
      </c>
      <c r="G252" s="377" t="s">
        <v>28</v>
      </c>
      <c r="H252" s="252">
        <v>0</v>
      </c>
      <c r="I252" s="252">
        <v>0</v>
      </c>
      <c r="J252" s="252">
        <f>8587.34-1449-3594.5</f>
        <v>3543.84</v>
      </c>
      <c r="K252" s="200"/>
      <c r="L252" s="200"/>
      <c r="M252" s="200"/>
      <c r="N252" s="200"/>
      <c r="O252" s="200"/>
      <c r="P252" s="476"/>
      <c r="Q252" s="9"/>
      <c r="R252" s="3"/>
      <c r="S252" s="3"/>
      <c r="T252" s="3"/>
      <c r="U252" s="3"/>
      <c r="V252" s="3"/>
    </row>
    <row r="253" spans="1:22" s="10" customFormat="1" ht="23.25" customHeight="1" x14ac:dyDescent="0.25">
      <c r="A253" s="481"/>
      <c r="B253" s="449"/>
      <c r="C253" s="449"/>
      <c r="D253" s="376">
        <v>771</v>
      </c>
      <c r="E253" s="353" t="s">
        <v>30</v>
      </c>
      <c r="F253" s="353" t="s">
        <v>118</v>
      </c>
      <c r="G253" s="377" t="s">
        <v>121</v>
      </c>
      <c r="H253" s="252">
        <v>0</v>
      </c>
      <c r="I253" s="252">
        <v>0</v>
      </c>
      <c r="J253" s="252">
        <v>30</v>
      </c>
      <c r="K253" s="378"/>
      <c r="L253" s="378"/>
      <c r="M253" s="378"/>
      <c r="N253" s="378"/>
      <c r="O253" s="378"/>
      <c r="P253" s="476"/>
      <c r="Q253" s="9"/>
      <c r="R253" s="3"/>
      <c r="S253" s="3"/>
      <c r="T253" s="3"/>
      <c r="U253" s="3"/>
      <c r="V253" s="3"/>
    </row>
    <row r="254" spans="1:22" s="10" customFormat="1" ht="23.25" customHeight="1" x14ac:dyDescent="0.25">
      <c r="A254" s="481"/>
      <c r="B254" s="449"/>
      <c r="C254" s="449"/>
      <c r="D254" s="376">
        <v>771</v>
      </c>
      <c r="E254" s="353" t="s">
        <v>30</v>
      </c>
      <c r="F254" s="353" t="s">
        <v>192</v>
      </c>
      <c r="G254" s="377" t="s">
        <v>119</v>
      </c>
      <c r="H254" s="252"/>
      <c r="I254" s="252"/>
      <c r="J254" s="252"/>
      <c r="K254" s="252">
        <f>7390.774+621.651</f>
        <v>8012.4250000000002</v>
      </c>
      <c r="L254" s="252">
        <v>7390.7740000000003</v>
      </c>
      <c r="M254" s="252">
        <v>7390.7740000000003</v>
      </c>
      <c r="N254" s="252">
        <v>7390.7740000000003</v>
      </c>
      <c r="O254" s="252">
        <v>7390.7740000000003</v>
      </c>
      <c r="P254" s="476"/>
      <c r="Q254" s="9"/>
      <c r="R254" s="3"/>
      <c r="S254" s="3"/>
      <c r="T254" s="3"/>
      <c r="U254" s="3"/>
      <c r="V254" s="3"/>
    </row>
    <row r="255" spans="1:22" s="10" customFormat="1" ht="23.25" customHeight="1" x14ac:dyDescent="0.25">
      <c r="A255" s="481"/>
      <c r="B255" s="449"/>
      <c r="C255" s="449"/>
      <c r="D255" s="376">
        <v>771</v>
      </c>
      <c r="E255" s="353" t="s">
        <v>30</v>
      </c>
      <c r="F255" s="353" t="s">
        <v>192</v>
      </c>
      <c r="G255" s="377" t="s">
        <v>120</v>
      </c>
      <c r="H255" s="252"/>
      <c r="I255" s="252"/>
      <c r="J255" s="252"/>
      <c r="K255" s="252">
        <f>25+192.1</f>
        <v>217.1</v>
      </c>
      <c r="L255" s="252">
        <v>25</v>
      </c>
      <c r="M255" s="252">
        <v>25</v>
      </c>
      <c r="N255" s="252">
        <v>25</v>
      </c>
      <c r="O255" s="252">
        <v>25</v>
      </c>
      <c r="P255" s="476"/>
      <c r="Q255" s="9"/>
      <c r="R255" s="3"/>
      <c r="S255" s="3"/>
      <c r="T255" s="3"/>
      <c r="U255" s="3"/>
      <c r="V255" s="3"/>
    </row>
    <row r="256" spans="1:22" s="10" customFormat="1" ht="22.5" customHeight="1" x14ac:dyDescent="0.25">
      <c r="A256" s="481"/>
      <c r="B256" s="449"/>
      <c r="C256" s="449"/>
      <c r="D256" s="376">
        <v>771</v>
      </c>
      <c r="E256" s="353" t="s">
        <v>30</v>
      </c>
      <c r="F256" s="353" t="s">
        <v>192</v>
      </c>
      <c r="G256" s="377" t="s">
        <v>246</v>
      </c>
      <c r="H256" s="195"/>
      <c r="I256" s="195"/>
      <c r="J256" s="195"/>
      <c r="K256" s="195">
        <f>2217.229+186.499</f>
        <v>2403.7279999999996</v>
      </c>
      <c r="L256" s="195">
        <v>2217.2289999999998</v>
      </c>
      <c r="M256" s="195">
        <v>2217.2289999999998</v>
      </c>
      <c r="N256" s="195">
        <v>2217.2289999999998</v>
      </c>
      <c r="O256" s="195">
        <v>2217.2289999999998</v>
      </c>
      <c r="P256" s="476"/>
      <c r="Q256" s="9"/>
      <c r="R256" s="3"/>
      <c r="S256" s="3"/>
      <c r="T256" s="3"/>
      <c r="U256" s="3"/>
      <c r="V256" s="3"/>
    </row>
    <row r="257" spans="1:22" s="10" customFormat="1" ht="23.25" customHeight="1" x14ac:dyDescent="0.25">
      <c r="A257" s="481"/>
      <c r="B257" s="449"/>
      <c r="C257" s="449"/>
      <c r="D257" s="376">
        <v>771</v>
      </c>
      <c r="E257" s="353" t="s">
        <v>30</v>
      </c>
      <c r="F257" s="353" t="s">
        <v>192</v>
      </c>
      <c r="G257" s="377" t="s">
        <v>28</v>
      </c>
      <c r="H257" s="252"/>
      <c r="I257" s="252"/>
      <c r="J257" s="252"/>
      <c r="K257" s="252">
        <f>5477-1752.75-500-215</f>
        <v>3009.25</v>
      </c>
      <c r="L257" s="252">
        <v>5537</v>
      </c>
      <c r="M257" s="252">
        <v>5537</v>
      </c>
      <c r="N257" s="252">
        <v>5537</v>
      </c>
      <c r="O257" s="252">
        <v>5537</v>
      </c>
      <c r="P257" s="476"/>
      <c r="Q257" s="9"/>
      <c r="R257" s="3"/>
      <c r="S257" s="3"/>
      <c r="T257" s="3"/>
      <c r="U257" s="3"/>
      <c r="V257" s="3"/>
    </row>
    <row r="258" spans="1:22" ht="23.25" customHeight="1" thickBot="1" x14ac:dyDescent="0.3">
      <c r="A258" s="482"/>
      <c r="B258" s="425"/>
      <c r="C258" s="425"/>
      <c r="D258" s="379">
        <v>771</v>
      </c>
      <c r="E258" s="370" t="s">
        <v>30</v>
      </c>
      <c r="F258" s="370" t="s">
        <v>192</v>
      </c>
      <c r="G258" s="380" t="s">
        <v>121</v>
      </c>
      <c r="H258" s="258"/>
      <c r="I258" s="258"/>
      <c r="J258" s="258"/>
      <c r="K258" s="258">
        <f>30-22.5</f>
        <v>7.5</v>
      </c>
      <c r="L258" s="258">
        <v>30</v>
      </c>
      <c r="M258" s="381">
        <v>30</v>
      </c>
      <c r="N258" s="381">
        <v>30</v>
      </c>
      <c r="O258" s="381">
        <v>30</v>
      </c>
      <c r="P258" s="477"/>
    </row>
    <row r="259" spans="1:22" ht="135" customHeight="1" thickBot="1" x14ac:dyDescent="0.3">
      <c r="A259" s="362" t="s">
        <v>244</v>
      </c>
      <c r="B259" s="203" t="s">
        <v>245</v>
      </c>
      <c r="C259" s="203" t="s">
        <v>20</v>
      </c>
      <c r="D259" s="382">
        <v>771</v>
      </c>
      <c r="E259" s="383" t="s">
        <v>16</v>
      </c>
      <c r="F259" s="383" t="s">
        <v>276</v>
      </c>
      <c r="G259" s="383" t="s">
        <v>113</v>
      </c>
      <c r="H259" s="384">
        <v>0</v>
      </c>
      <c r="I259" s="205">
        <v>0</v>
      </c>
      <c r="J259" s="205">
        <v>0</v>
      </c>
      <c r="K259" s="205">
        <v>60</v>
      </c>
      <c r="L259" s="205">
        <v>0</v>
      </c>
      <c r="M259" s="385">
        <v>0</v>
      </c>
      <c r="N259" s="385">
        <v>0</v>
      </c>
      <c r="O259" s="385">
        <v>0</v>
      </c>
      <c r="P259" s="205">
        <f t="shared" ref="P259" si="88">SUM(H259:O259)</f>
        <v>60</v>
      </c>
    </row>
    <row r="260" spans="1:22" ht="135" customHeight="1" thickBot="1" x14ac:dyDescent="0.3">
      <c r="A260" s="342" t="s">
        <v>280</v>
      </c>
      <c r="B260" s="141" t="s">
        <v>339</v>
      </c>
      <c r="C260" s="141" t="s">
        <v>20</v>
      </c>
      <c r="D260" s="256">
        <v>771</v>
      </c>
      <c r="E260" s="257" t="s">
        <v>30</v>
      </c>
      <c r="F260" s="257" t="s">
        <v>360</v>
      </c>
      <c r="G260" s="257" t="s">
        <v>28</v>
      </c>
      <c r="H260" s="205"/>
      <c r="I260" s="205"/>
      <c r="J260" s="205"/>
      <c r="K260" s="205">
        <v>500</v>
      </c>
      <c r="L260" s="205">
        <v>0</v>
      </c>
      <c r="M260" s="205">
        <v>0</v>
      </c>
      <c r="N260" s="205">
        <v>0</v>
      </c>
      <c r="O260" s="205">
        <v>0</v>
      </c>
      <c r="P260" s="205">
        <f>SUM(K260:O260)</f>
        <v>500</v>
      </c>
    </row>
    <row r="261" spans="1:22" s="130" customFormat="1" ht="79.5" customHeight="1" thickBot="1" x14ac:dyDescent="0.25">
      <c r="A261" s="342" t="s">
        <v>338</v>
      </c>
      <c r="B261" s="141" t="s">
        <v>83</v>
      </c>
      <c r="C261" s="141" t="s">
        <v>20</v>
      </c>
      <c r="D261" s="160">
        <v>771</v>
      </c>
      <c r="E261" s="142" t="s">
        <v>30</v>
      </c>
      <c r="F261" s="142" t="s">
        <v>282</v>
      </c>
      <c r="G261" s="161" t="s">
        <v>17</v>
      </c>
      <c r="H261" s="236">
        <f>SUM(H262:H264)</f>
        <v>2300</v>
      </c>
      <c r="I261" s="236">
        <f t="shared" ref="I261:O261" si="89">SUM(I262:I264)</f>
        <v>0</v>
      </c>
      <c r="J261" s="236">
        <f t="shared" si="89"/>
        <v>0</v>
      </c>
      <c r="K261" s="236">
        <f t="shared" si="89"/>
        <v>0</v>
      </c>
      <c r="L261" s="236">
        <f t="shared" si="89"/>
        <v>0</v>
      </c>
      <c r="M261" s="236">
        <f t="shared" si="89"/>
        <v>0</v>
      </c>
      <c r="N261" s="236">
        <f t="shared" si="89"/>
        <v>0</v>
      </c>
      <c r="O261" s="236">
        <f t="shared" si="89"/>
        <v>0</v>
      </c>
      <c r="P261" s="236">
        <f>SUM(H261:O261)</f>
        <v>2300</v>
      </c>
      <c r="Q261" s="3"/>
      <c r="R261" s="3"/>
      <c r="S261" s="3"/>
      <c r="T261" s="3"/>
      <c r="U261" s="3"/>
      <c r="V261" s="3"/>
    </row>
    <row r="262" spans="1:22" s="10" customFormat="1" ht="99" customHeight="1" thickBot="1" x14ac:dyDescent="0.3">
      <c r="A262" s="386" t="s">
        <v>345</v>
      </c>
      <c r="B262" s="144" t="s">
        <v>84</v>
      </c>
      <c r="C262" s="144" t="s">
        <v>20</v>
      </c>
      <c r="D262" s="364">
        <v>771</v>
      </c>
      <c r="E262" s="365" t="s">
        <v>30</v>
      </c>
      <c r="F262" s="364">
        <v>5225200</v>
      </c>
      <c r="G262" s="366" t="s">
        <v>17</v>
      </c>
      <c r="H262" s="310">
        <v>300</v>
      </c>
      <c r="I262" s="310">
        <v>0</v>
      </c>
      <c r="J262" s="310">
        <v>0</v>
      </c>
      <c r="K262" s="310">
        <v>0</v>
      </c>
      <c r="L262" s="310">
        <v>0</v>
      </c>
      <c r="M262" s="310">
        <v>0</v>
      </c>
      <c r="N262" s="310">
        <v>0</v>
      </c>
      <c r="O262" s="310">
        <v>0</v>
      </c>
      <c r="P262" s="310">
        <f>SUM(H262:L262)</f>
        <v>300</v>
      </c>
      <c r="Q262" s="9"/>
      <c r="R262" s="3"/>
      <c r="S262" s="3"/>
      <c r="T262" s="3"/>
      <c r="U262" s="3"/>
      <c r="V262" s="3"/>
    </row>
    <row r="263" spans="1:22" s="10" customFormat="1" ht="71.25" customHeight="1" thickBot="1" x14ac:dyDescent="0.3">
      <c r="A263" s="342" t="s">
        <v>346</v>
      </c>
      <c r="B263" s="141" t="s">
        <v>85</v>
      </c>
      <c r="C263" s="141" t="s">
        <v>20</v>
      </c>
      <c r="D263" s="256">
        <v>771</v>
      </c>
      <c r="E263" s="257" t="s">
        <v>30</v>
      </c>
      <c r="F263" s="256">
        <v>5225000</v>
      </c>
      <c r="G263" s="343" t="s">
        <v>17</v>
      </c>
      <c r="H263" s="205">
        <v>1500</v>
      </c>
      <c r="I263" s="205">
        <v>0</v>
      </c>
      <c r="J263" s="205">
        <v>0</v>
      </c>
      <c r="K263" s="205">
        <v>0</v>
      </c>
      <c r="L263" s="205">
        <v>0</v>
      </c>
      <c r="M263" s="205">
        <v>0</v>
      </c>
      <c r="N263" s="205">
        <v>0</v>
      </c>
      <c r="O263" s="205">
        <v>0</v>
      </c>
      <c r="P263" s="205">
        <f>SUM(H263:L263)</f>
        <v>1500</v>
      </c>
      <c r="Q263" s="9"/>
      <c r="R263" s="3"/>
      <c r="S263" s="3"/>
      <c r="T263" s="3"/>
      <c r="U263" s="3"/>
      <c r="V263" s="3"/>
    </row>
    <row r="264" spans="1:22" s="10" customFormat="1" ht="104.25" customHeight="1" thickBot="1" x14ac:dyDescent="0.3">
      <c r="A264" s="342" t="s">
        <v>347</v>
      </c>
      <c r="B264" s="141" t="s">
        <v>86</v>
      </c>
      <c r="C264" s="141" t="s">
        <v>20</v>
      </c>
      <c r="D264" s="256">
        <v>771</v>
      </c>
      <c r="E264" s="257" t="s">
        <v>30</v>
      </c>
      <c r="F264" s="256">
        <v>5225000</v>
      </c>
      <c r="G264" s="257" t="s">
        <v>17</v>
      </c>
      <c r="H264" s="205">
        <v>500</v>
      </c>
      <c r="I264" s="205">
        <v>0</v>
      </c>
      <c r="J264" s="205">
        <v>0</v>
      </c>
      <c r="K264" s="205">
        <v>0</v>
      </c>
      <c r="L264" s="205">
        <v>0</v>
      </c>
      <c r="M264" s="205">
        <v>0</v>
      </c>
      <c r="N264" s="205">
        <v>0</v>
      </c>
      <c r="O264" s="205">
        <v>0</v>
      </c>
      <c r="P264" s="205">
        <f>SUM(H264:L264)</f>
        <v>500</v>
      </c>
      <c r="Q264" s="9"/>
      <c r="R264" s="3"/>
      <c r="S264" s="3"/>
      <c r="T264" s="3"/>
      <c r="U264" s="3"/>
      <c r="V264" s="3"/>
    </row>
    <row r="265" spans="1:22" s="10" customFormat="1" x14ac:dyDescent="0.25">
      <c r="Q265" s="9"/>
      <c r="R265" s="3"/>
      <c r="S265" s="3"/>
      <c r="T265" s="3"/>
      <c r="U265" s="3"/>
      <c r="V265" s="3"/>
    </row>
    <row r="266" spans="1:22" s="10" customFormat="1" ht="30.75" customHeight="1" x14ac:dyDescent="0.25">
      <c r="B266" s="23"/>
      <c r="C266" s="24"/>
      <c r="P266" s="22" t="s">
        <v>306</v>
      </c>
      <c r="Q266" s="9"/>
      <c r="R266" s="3"/>
      <c r="S266" s="3"/>
      <c r="T266" s="3"/>
      <c r="U266" s="3"/>
      <c r="V266" s="3"/>
    </row>
    <row r="267" spans="1:22" ht="15.75" customHeight="1" x14ac:dyDescent="0.25">
      <c r="B267" s="23"/>
    </row>
  </sheetData>
  <autoFilter ref="D12:G264"/>
  <mergeCells count="276">
    <mergeCell ref="P160:P161"/>
    <mergeCell ref="C222:C224"/>
    <mergeCell ref="B162:B163"/>
    <mergeCell ref="C162:C163"/>
    <mergeCell ref="A233:A235"/>
    <mergeCell ref="B233:B235"/>
    <mergeCell ref="C233:C235"/>
    <mergeCell ref="P233:P235"/>
    <mergeCell ref="A63:A65"/>
    <mergeCell ref="B63:B65"/>
    <mergeCell ref="C63:C65"/>
    <mergeCell ref="P63:P65"/>
    <mergeCell ref="B174:B176"/>
    <mergeCell ref="A198:A200"/>
    <mergeCell ref="A201:A203"/>
    <mergeCell ref="B201:B203"/>
    <mergeCell ref="A218:A220"/>
    <mergeCell ref="B218:B220"/>
    <mergeCell ref="B205:B207"/>
    <mergeCell ref="B198:B200"/>
    <mergeCell ref="A222:A224"/>
    <mergeCell ref="P169:P170"/>
    <mergeCell ref="C169:C170"/>
    <mergeCell ref="P102:P103"/>
    <mergeCell ref="C228:C231"/>
    <mergeCell ref="C225:C227"/>
    <mergeCell ref="C248:C249"/>
    <mergeCell ref="P248:P249"/>
    <mergeCell ref="C172:C173"/>
    <mergeCell ref="P172:P173"/>
    <mergeCell ref="C196:C197"/>
    <mergeCell ref="P196:P197"/>
    <mergeCell ref="C193:C194"/>
    <mergeCell ref="C202:C203"/>
    <mergeCell ref="P202:P203"/>
    <mergeCell ref="C219:C220"/>
    <mergeCell ref="P219:P220"/>
    <mergeCell ref="P222:P224"/>
    <mergeCell ref="P174:P176"/>
    <mergeCell ref="P225:P227"/>
    <mergeCell ref="P198:P200"/>
    <mergeCell ref="P205:P207"/>
    <mergeCell ref="C245:C246"/>
    <mergeCell ref="C214:C215"/>
    <mergeCell ref="C205:C207"/>
    <mergeCell ref="C160:C161"/>
    <mergeCell ref="C157:C158"/>
    <mergeCell ref="P250:P258"/>
    <mergeCell ref="P208:P210"/>
    <mergeCell ref="P211:P213"/>
    <mergeCell ref="A236:A238"/>
    <mergeCell ref="B236:B238"/>
    <mergeCell ref="C236:C238"/>
    <mergeCell ref="A243:A244"/>
    <mergeCell ref="A250:A258"/>
    <mergeCell ref="B250:B258"/>
    <mergeCell ref="C250:C258"/>
    <mergeCell ref="A211:A213"/>
    <mergeCell ref="B211:B213"/>
    <mergeCell ref="C211:C213"/>
    <mergeCell ref="P243:P244"/>
    <mergeCell ref="P236:P238"/>
    <mergeCell ref="P214:P215"/>
    <mergeCell ref="B225:B227"/>
    <mergeCell ref="B243:B244"/>
    <mergeCell ref="C243:C244"/>
    <mergeCell ref="A225:A227"/>
    <mergeCell ref="A228:A231"/>
    <mergeCell ref="B228:B231"/>
    <mergeCell ref="B208:B210"/>
    <mergeCell ref="C208:C210"/>
    <mergeCell ref="A208:A210"/>
    <mergeCell ref="A162:A163"/>
    <mergeCell ref="A174:A176"/>
    <mergeCell ref="C174:C176"/>
    <mergeCell ref="A205:A207"/>
    <mergeCell ref="C198:C200"/>
    <mergeCell ref="B177:B181"/>
    <mergeCell ref="A177:A181"/>
    <mergeCell ref="P72:P73"/>
    <mergeCell ref="B92:B95"/>
    <mergeCell ref="B81:B85"/>
    <mergeCell ref="B71:B74"/>
    <mergeCell ref="A59:A62"/>
    <mergeCell ref="P79:P80"/>
    <mergeCell ref="A81:A85"/>
    <mergeCell ref="A79:A80"/>
    <mergeCell ref="C93:C94"/>
    <mergeCell ref="P93:P94"/>
    <mergeCell ref="C67:C68"/>
    <mergeCell ref="P67:P68"/>
    <mergeCell ref="P89:P91"/>
    <mergeCell ref="A76:A78"/>
    <mergeCell ref="C60:C62"/>
    <mergeCell ref="P60:P62"/>
    <mergeCell ref="B66:B70"/>
    <mergeCell ref="A66:A70"/>
    <mergeCell ref="B59:B62"/>
    <mergeCell ref="A71:A74"/>
    <mergeCell ref="C81:C84"/>
    <mergeCell ref="P76:P78"/>
    <mergeCell ref="C76:C78"/>
    <mergeCell ref="B79:B80"/>
    <mergeCell ref="C138:C140"/>
    <mergeCell ref="A150:A153"/>
    <mergeCell ref="B150:B153"/>
    <mergeCell ref="C150:C153"/>
    <mergeCell ref="A138:A140"/>
    <mergeCell ref="A122:A123"/>
    <mergeCell ref="P142:P143"/>
    <mergeCell ref="P145:P146"/>
    <mergeCell ref="C127:C128"/>
    <mergeCell ref="P127:P128"/>
    <mergeCell ref="C136:C137"/>
    <mergeCell ref="P136:P137"/>
    <mergeCell ref="P147:P149"/>
    <mergeCell ref="P150:P153"/>
    <mergeCell ref="B147:B149"/>
    <mergeCell ref="C147:C149"/>
    <mergeCell ref="A141:A143"/>
    <mergeCell ref="B141:B143"/>
    <mergeCell ref="C142:C143"/>
    <mergeCell ref="C145:C146"/>
    <mergeCell ref="A135:A137"/>
    <mergeCell ref="B135:B137"/>
    <mergeCell ref="P122:P123"/>
    <mergeCell ref="A31:A32"/>
    <mergeCell ref="A92:A95"/>
    <mergeCell ref="C107:C108"/>
    <mergeCell ref="P157:P158"/>
    <mergeCell ref="B76:B78"/>
    <mergeCell ref="C72:C73"/>
    <mergeCell ref="P138:P140"/>
    <mergeCell ref="P162:P163"/>
    <mergeCell ref="P96:P98"/>
    <mergeCell ref="A129:A131"/>
    <mergeCell ref="B129:B131"/>
    <mergeCell ref="C129:C131"/>
    <mergeCell ref="A117:A119"/>
    <mergeCell ref="B117:B119"/>
    <mergeCell ref="C117:C119"/>
    <mergeCell ref="P129:P131"/>
    <mergeCell ref="B124:B128"/>
    <mergeCell ref="B100:B105"/>
    <mergeCell ref="A100:A105"/>
    <mergeCell ref="C122:C123"/>
    <mergeCell ref="A124:A128"/>
    <mergeCell ref="B122:B123"/>
    <mergeCell ref="B53:B54"/>
    <mergeCell ref="B138:B140"/>
    <mergeCell ref="B45:B49"/>
    <mergeCell ref="C23:C24"/>
    <mergeCell ref="P23:P24"/>
    <mergeCell ref="C26:C27"/>
    <mergeCell ref="P26:P27"/>
    <mergeCell ref="B22:B24"/>
    <mergeCell ref="B29:B30"/>
    <mergeCell ref="B31:B32"/>
    <mergeCell ref="C31:C32"/>
    <mergeCell ref="B25:B27"/>
    <mergeCell ref="E53:E54"/>
    <mergeCell ref="F53:F54"/>
    <mergeCell ref="C35:C36"/>
    <mergeCell ref="P50:P52"/>
    <mergeCell ref="O53:O54"/>
    <mergeCell ref="K53:K54"/>
    <mergeCell ref="I53:I54"/>
    <mergeCell ref="H53:H54"/>
    <mergeCell ref="D53:D54"/>
    <mergeCell ref="G53:G54"/>
    <mergeCell ref="P40:P41"/>
    <mergeCell ref="A33:A34"/>
    <mergeCell ref="B55:B56"/>
    <mergeCell ref="A55:A56"/>
    <mergeCell ref="B33:B34"/>
    <mergeCell ref="B37:B38"/>
    <mergeCell ref="B35:B36"/>
    <mergeCell ref="C37:C38"/>
    <mergeCell ref="C40:C41"/>
    <mergeCell ref="A39:A41"/>
    <mergeCell ref="B39:B41"/>
    <mergeCell ref="A53:A54"/>
    <mergeCell ref="A42:A44"/>
    <mergeCell ref="A50:A52"/>
    <mergeCell ref="C55:C56"/>
    <mergeCell ref="A35:A36"/>
    <mergeCell ref="A37:A38"/>
    <mergeCell ref="C45:C49"/>
    <mergeCell ref="C33:C34"/>
    <mergeCell ref="C53:C54"/>
    <mergeCell ref="A45:A49"/>
    <mergeCell ref="B42:B44"/>
    <mergeCell ref="C42:C44"/>
    <mergeCell ref="B50:B52"/>
    <mergeCell ref="C50:C52"/>
    <mergeCell ref="A22:A24"/>
    <mergeCell ref="C29:C30"/>
    <mergeCell ref="A4:P4"/>
    <mergeCell ref="A5:P5"/>
    <mergeCell ref="P9:P10"/>
    <mergeCell ref="F9:F10"/>
    <mergeCell ref="L9:L10"/>
    <mergeCell ref="K9:K10"/>
    <mergeCell ref="A12:A21"/>
    <mergeCell ref="H7:P8"/>
    <mergeCell ref="M9:M10"/>
    <mergeCell ref="O9:O10"/>
    <mergeCell ref="N9:N10"/>
    <mergeCell ref="H9:H10"/>
    <mergeCell ref="I9:I10"/>
    <mergeCell ref="J9:J10"/>
    <mergeCell ref="B12:B21"/>
    <mergeCell ref="D9:D10"/>
    <mergeCell ref="G9:G10"/>
    <mergeCell ref="D7:G8"/>
    <mergeCell ref="B7:B10"/>
    <mergeCell ref="A29:A30"/>
    <mergeCell ref="A25:A27"/>
    <mergeCell ref="P55:P56"/>
    <mergeCell ref="P29:P30"/>
    <mergeCell ref="P31:P32"/>
    <mergeCell ref="P33:P34"/>
    <mergeCell ref="J53:J54"/>
    <mergeCell ref="P35:P36"/>
    <mergeCell ref="P37:P38"/>
    <mergeCell ref="P53:P54"/>
    <mergeCell ref="P45:P49"/>
    <mergeCell ref="L53:L54"/>
    <mergeCell ref="M53:M54"/>
    <mergeCell ref="N53:N54"/>
    <mergeCell ref="P42:P44"/>
    <mergeCell ref="B247:B249"/>
    <mergeCell ref="A247:A249"/>
    <mergeCell ref="A144:A146"/>
    <mergeCell ref="B144:B146"/>
    <mergeCell ref="A156:A158"/>
    <mergeCell ref="B156:B158"/>
    <mergeCell ref="A171:A173"/>
    <mergeCell ref="B171:B173"/>
    <mergeCell ref="A189:A190"/>
    <mergeCell ref="B189:B190"/>
    <mergeCell ref="A195:A197"/>
    <mergeCell ref="B195:B197"/>
    <mergeCell ref="B222:B224"/>
    <mergeCell ref="A245:A246"/>
    <mergeCell ref="B245:B246"/>
    <mergeCell ref="B164:B170"/>
    <mergeCell ref="A164:A170"/>
    <mergeCell ref="A160:A161"/>
    <mergeCell ref="B160:B161"/>
    <mergeCell ref="A214:A215"/>
    <mergeCell ref="B214:B215"/>
    <mergeCell ref="B192:B194"/>
    <mergeCell ref="A192:A194"/>
    <mergeCell ref="A147:A149"/>
    <mergeCell ref="C79:C80"/>
    <mergeCell ref="P86:P88"/>
    <mergeCell ref="P81:P84"/>
    <mergeCell ref="A96:A98"/>
    <mergeCell ref="B96:B98"/>
    <mergeCell ref="C102:C103"/>
    <mergeCell ref="P107:P108"/>
    <mergeCell ref="A106:A108"/>
    <mergeCell ref="B106:B108"/>
    <mergeCell ref="P109:P116"/>
    <mergeCell ref="C96:C98"/>
    <mergeCell ref="P117:P119"/>
    <mergeCell ref="A86:A88"/>
    <mergeCell ref="B86:B88"/>
    <mergeCell ref="C86:C88"/>
    <mergeCell ref="A89:A91"/>
    <mergeCell ref="B89:B91"/>
    <mergeCell ref="C89:C91"/>
    <mergeCell ref="A109:A116"/>
    <mergeCell ref="B109:B116"/>
    <mergeCell ref="C109:C116"/>
  </mergeCells>
  <phoneticPr fontId="0" type="noConversion"/>
  <conditionalFormatting sqref="G155">
    <cfRule type="expression" dxfId="5" priority="7" stopIfTrue="1">
      <formula>HasError()</formula>
    </cfRule>
    <cfRule type="expression" dxfId="4" priority="8" stopIfTrue="1">
      <formula>LockedByCondition()</formula>
    </cfRule>
    <cfRule type="expression" dxfId="3" priority="9" stopIfTrue="1">
      <formula>Locked()</formula>
    </cfRule>
  </conditionalFormatting>
  <conditionalFormatting sqref="G154">
    <cfRule type="expression" dxfId="2" priority="1" stopIfTrue="1">
      <formula>HasError()</formula>
    </cfRule>
    <cfRule type="expression" dxfId="1" priority="2" stopIfTrue="1">
      <formula>LockedByCondition()</formula>
    </cfRule>
    <cfRule type="expression" dxfId="0" priority="3" stopIfTrue="1">
      <formula>Locked()</formula>
    </cfRule>
  </conditionalFormatting>
  <printOptions horizontalCentered="1"/>
  <pageMargins left="0.78740157480314965" right="0.59055118110236227" top="0.98425196850393704" bottom="0.59055118110236227" header="0.15748031496062992" footer="0.19685039370078741"/>
  <pageSetup paperSize="9" scale="52" fitToHeight="0" orientation="landscape" r:id="rId1"/>
  <headerFooter differentFirst="1">
    <oddHeader>&amp;C&amp;18&amp;P</oddHeader>
  </headerFooter>
  <rowBreaks count="14" manualBreakCount="14">
    <brk id="13" max="15" man="1"/>
    <brk id="28" max="15" man="1"/>
    <brk id="49" max="15" man="1"/>
    <brk id="65" max="15" man="1"/>
    <brk id="88" max="15" man="1"/>
    <brk id="108" max="15" man="1"/>
    <brk id="132" max="15" man="1"/>
    <brk id="155" max="15" man="1"/>
    <brk id="173" max="15" man="1"/>
    <brk id="188" max="15" man="1"/>
    <brk id="210" max="15" man="1"/>
    <brk id="227" max="15" man="1"/>
    <brk id="240" max="15" man="1"/>
    <brk id="259"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53"/>
  <sheetViews>
    <sheetView tabSelected="1" view="pageBreakPreview" topLeftCell="A397" zoomScale="90" zoomScaleNormal="85" zoomScaleSheetLayoutView="90" workbookViewId="0">
      <selection activeCell="B404" sqref="B404:B410"/>
    </sheetView>
  </sheetViews>
  <sheetFormatPr defaultRowHeight="18.75" x14ac:dyDescent="0.3"/>
  <cols>
    <col min="1" max="1" width="7.109375" style="124" customWidth="1"/>
    <col min="2" max="2" width="33.44140625" style="54" customWidth="1"/>
    <col min="3" max="3" width="18.33203125" style="55" customWidth="1"/>
    <col min="4" max="4" width="6.5546875" style="56" customWidth="1"/>
    <col min="5" max="5" width="13.88671875" style="57" customWidth="1"/>
    <col min="6" max="6" width="16.109375" style="57" customWidth="1"/>
    <col min="7" max="7" width="15.5546875" style="57" customWidth="1"/>
    <col min="8" max="8" width="11.77734375" style="37" customWidth="1"/>
    <col min="9" max="12" width="11.44140625" style="37" customWidth="1"/>
    <col min="13" max="13" width="12.77734375" style="37" customWidth="1"/>
    <col min="14" max="14" width="17.109375" style="37" customWidth="1"/>
    <col min="15" max="15" width="8.88671875" style="37"/>
    <col min="16" max="16" width="10.109375" style="37" bestFit="1" customWidth="1"/>
    <col min="17" max="16384" width="8.88671875" style="37"/>
  </cols>
  <sheetData>
    <row r="1" spans="1:13" ht="331.5" customHeight="1" x14ac:dyDescent="0.3">
      <c r="A1" s="118"/>
      <c r="B1" s="33"/>
      <c r="C1" s="2"/>
      <c r="D1" s="34"/>
      <c r="E1" s="2"/>
      <c r="F1" s="2"/>
      <c r="G1" s="35"/>
      <c r="H1" s="35"/>
      <c r="I1" s="35"/>
      <c r="J1" s="35"/>
      <c r="K1" s="35"/>
      <c r="L1" s="35"/>
      <c r="M1" s="36"/>
    </row>
    <row r="2" spans="1:13" ht="156" customHeight="1" x14ac:dyDescent="0.3">
      <c r="A2" s="118"/>
      <c r="B2" s="33"/>
      <c r="C2" s="2"/>
      <c r="D2" s="34"/>
      <c r="E2" s="2"/>
      <c r="F2" s="2"/>
      <c r="G2" s="35"/>
      <c r="H2" s="35"/>
      <c r="I2" s="35"/>
      <c r="J2" s="35"/>
      <c r="K2" s="35"/>
      <c r="L2" s="35"/>
      <c r="M2" s="36"/>
    </row>
    <row r="3" spans="1:13" ht="43.5" customHeight="1" x14ac:dyDescent="0.4">
      <c r="A3" s="525" t="s">
        <v>90</v>
      </c>
      <c r="B3" s="525"/>
      <c r="C3" s="525"/>
      <c r="D3" s="525"/>
      <c r="E3" s="525"/>
      <c r="F3" s="525"/>
      <c r="G3" s="525"/>
      <c r="H3" s="525"/>
      <c r="I3" s="525"/>
      <c r="J3" s="525"/>
      <c r="K3" s="525"/>
      <c r="L3" s="525"/>
      <c r="M3" s="525"/>
    </row>
    <row r="4" spans="1:13" s="38" customFormat="1" ht="173.25" customHeight="1" x14ac:dyDescent="0.3">
      <c r="A4" s="526" t="s">
        <v>325</v>
      </c>
      <c r="B4" s="526"/>
      <c r="C4" s="526"/>
      <c r="D4" s="526"/>
      <c r="E4" s="526"/>
      <c r="F4" s="526"/>
      <c r="G4" s="526"/>
      <c r="H4" s="526"/>
      <c r="I4" s="526"/>
      <c r="J4" s="526"/>
      <c r="K4" s="526"/>
      <c r="L4" s="526"/>
      <c r="M4" s="526"/>
    </row>
    <row r="5" spans="1:13" ht="12" customHeight="1" x14ac:dyDescent="0.3">
      <c r="A5" s="119"/>
      <c r="B5" s="39"/>
      <c r="C5" s="5"/>
      <c r="D5" s="40"/>
      <c r="E5" s="6"/>
      <c r="F5" s="6"/>
      <c r="G5" s="6"/>
      <c r="H5" s="6"/>
      <c r="I5" s="6"/>
      <c r="J5" s="6"/>
      <c r="K5" s="6"/>
      <c r="L5" s="6"/>
    </row>
    <row r="6" spans="1:13" ht="24.95" customHeight="1" x14ac:dyDescent="0.3">
      <c r="A6" s="26"/>
      <c r="B6" s="432" t="s">
        <v>316</v>
      </c>
      <c r="C6" s="432" t="s">
        <v>91</v>
      </c>
      <c r="D6" s="432" t="s">
        <v>11</v>
      </c>
      <c r="E6" s="433" t="s">
        <v>92</v>
      </c>
      <c r="F6" s="433"/>
      <c r="G6" s="433"/>
      <c r="H6" s="433"/>
      <c r="I6" s="433"/>
      <c r="J6" s="433"/>
      <c r="K6" s="433"/>
      <c r="L6" s="433"/>
      <c r="M6" s="433"/>
    </row>
    <row r="7" spans="1:13" ht="24.95" customHeight="1" x14ac:dyDescent="0.3">
      <c r="A7" s="41" t="s">
        <v>4</v>
      </c>
      <c r="B7" s="402"/>
      <c r="C7" s="402"/>
      <c r="D7" s="402"/>
      <c r="E7" s="433"/>
      <c r="F7" s="433"/>
      <c r="G7" s="433"/>
      <c r="H7" s="433"/>
      <c r="I7" s="433"/>
      <c r="J7" s="433"/>
      <c r="K7" s="433"/>
      <c r="L7" s="433"/>
      <c r="M7" s="433"/>
    </row>
    <row r="8" spans="1:13" ht="24.95" customHeight="1" x14ac:dyDescent="0.3">
      <c r="A8" s="27" t="s">
        <v>5</v>
      </c>
      <c r="B8" s="402"/>
      <c r="C8" s="402"/>
      <c r="D8" s="402"/>
      <c r="E8" s="529">
        <v>2013</v>
      </c>
      <c r="F8" s="529">
        <v>2014</v>
      </c>
      <c r="G8" s="529">
        <v>2015</v>
      </c>
      <c r="H8" s="527">
        <v>2016</v>
      </c>
      <c r="I8" s="528">
        <v>2017</v>
      </c>
      <c r="J8" s="527">
        <v>2018</v>
      </c>
      <c r="K8" s="528">
        <v>2019</v>
      </c>
      <c r="L8" s="527">
        <v>2020</v>
      </c>
      <c r="M8" s="527" t="s">
        <v>321</v>
      </c>
    </row>
    <row r="9" spans="1:13" ht="24.95" customHeight="1" x14ac:dyDescent="0.3">
      <c r="A9" s="28"/>
      <c r="B9" s="403"/>
      <c r="C9" s="403"/>
      <c r="D9" s="403"/>
      <c r="E9" s="530"/>
      <c r="F9" s="530"/>
      <c r="G9" s="530"/>
      <c r="H9" s="527"/>
      <c r="I9" s="528"/>
      <c r="J9" s="527"/>
      <c r="K9" s="528"/>
      <c r="L9" s="527"/>
      <c r="M9" s="527"/>
    </row>
    <row r="10" spans="1:13" x14ac:dyDescent="0.3">
      <c r="A10" s="61">
        <v>1</v>
      </c>
      <c r="B10" s="25">
        <v>2</v>
      </c>
      <c r="C10" s="25">
        <v>3</v>
      </c>
      <c r="D10" s="25">
        <v>4</v>
      </c>
      <c r="E10" s="61">
        <v>5</v>
      </c>
      <c r="F10" s="61">
        <v>6</v>
      </c>
      <c r="G10" s="61">
        <v>7</v>
      </c>
      <c r="H10" s="61">
        <v>8</v>
      </c>
      <c r="I10" s="61">
        <v>9</v>
      </c>
      <c r="J10" s="61">
        <v>10</v>
      </c>
      <c r="K10" s="61">
        <v>11</v>
      </c>
      <c r="L10" s="61">
        <v>12</v>
      </c>
      <c r="M10" s="61">
        <v>13</v>
      </c>
    </row>
    <row r="11" spans="1:13" ht="18.75" customHeight="1" x14ac:dyDescent="0.3">
      <c r="A11" s="537" t="s">
        <v>364</v>
      </c>
      <c r="B11" s="538"/>
      <c r="C11" s="29" t="s">
        <v>27</v>
      </c>
      <c r="D11" s="15"/>
      <c r="E11" s="62">
        <f>E12+E13+E14+E15+E17+E19</f>
        <v>950596.01</v>
      </c>
      <c r="F11" s="62">
        <f t="shared" ref="F11:L11" si="0">F12+F13+F14+F15+F17+F19</f>
        <v>925124.46714285703</v>
      </c>
      <c r="G11" s="62">
        <f t="shared" si="0"/>
        <v>1109191.5776342857</v>
      </c>
      <c r="H11" s="62">
        <f t="shared" si="0"/>
        <v>1171395.9560257143</v>
      </c>
      <c r="I11" s="62">
        <f t="shared" si="0"/>
        <v>734105.79300000006</v>
      </c>
      <c r="J11" s="62">
        <f t="shared" si="0"/>
        <v>729525.40300000005</v>
      </c>
      <c r="K11" s="62">
        <f t="shared" si="0"/>
        <v>729525.40300000005</v>
      </c>
      <c r="L11" s="62">
        <f t="shared" si="0"/>
        <v>729525.40300000005</v>
      </c>
      <c r="M11" s="63">
        <f>SUM(E11:L11)</f>
        <v>7078990.012802857</v>
      </c>
    </row>
    <row r="12" spans="1:13" ht="30" customHeight="1" x14ac:dyDescent="0.3">
      <c r="A12" s="539"/>
      <c r="B12" s="540"/>
      <c r="C12" s="30" t="s">
        <v>93</v>
      </c>
      <c r="D12" s="16"/>
      <c r="E12" s="64">
        <f t="shared" ref="E12:L15" si="1">E22+E160+E237+E335+E405+E496</f>
        <v>0</v>
      </c>
      <c r="F12" s="64">
        <f t="shared" si="1"/>
        <v>62420.58</v>
      </c>
      <c r="G12" s="64">
        <f t="shared" si="1"/>
        <v>72474.600000000006</v>
      </c>
      <c r="H12" s="64">
        <f t="shared" si="1"/>
        <v>0</v>
      </c>
      <c r="I12" s="64">
        <f t="shared" si="1"/>
        <v>0</v>
      </c>
      <c r="J12" s="64">
        <f t="shared" si="1"/>
        <v>0</v>
      </c>
      <c r="K12" s="64">
        <f t="shared" si="1"/>
        <v>0</v>
      </c>
      <c r="L12" s="64">
        <f t="shared" si="1"/>
        <v>0</v>
      </c>
      <c r="M12" s="65">
        <f>SUM(E12:L12)</f>
        <v>134895.18</v>
      </c>
    </row>
    <row r="13" spans="1:13" ht="18.75" customHeight="1" x14ac:dyDescent="0.3">
      <c r="A13" s="539"/>
      <c r="B13" s="540"/>
      <c r="C13" s="31" t="s">
        <v>94</v>
      </c>
      <c r="D13" s="16"/>
      <c r="E13" s="64">
        <f t="shared" si="1"/>
        <v>911665.01</v>
      </c>
      <c r="F13" s="64">
        <f t="shared" si="1"/>
        <v>766787.02999999991</v>
      </c>
      <c r="G13" s="64">
        <f t="shared" si="1"/>
        <v>882516.69192000001</v>
      </c>
      <c r="H13" s="64">
        <f t="shared" si="1"/>
        <v>896070.49173999997</v>
      </c>
      <c r="I13" s="64">
        <f t="shared" si="1"/>
        <v>631066.04300000006</v>
      </c>
      <c r="J13" s="64">
        <f t="shared" si="1"/>
        <v>629525.40300000005</v>
      </c>
      <c r="K13" s="64">
        <f t="shared" si="1"/>
        <v>629525.40300000005</v>
      </c>
      <c r="L13" s="64">
        <f t="shared" si="1"/>
        <v>629525.40300000005</v>
      </c>
      <c r="M13" s="65">
        <f>SUM(E13:L13)</f>
        <v>5976681.47566</v>
      </c>
    </row>
    <row r="14" spans="1:13" s="42" customFormat="1" ht="51" customHeight="1" x14ac:dyDescent="0.3">
      <c r="A14" s="539"/>
      <c r="B14" s="540"/>
      <c r="C14" s="32" t="s">
        <v>95</v>
      </c>
      <c r="D14" s="17"/>
      <c r="E14" s="64">
        <f t="shared" si="1"/>
        <v>38931</v>
      </c>
      <c r="F14" s="64">
        <f t="shared" si="1"/>
        <v>95916.857142857145</v>
      </c>
      <c r="G14" s="64">
        <f t="shared" si="1"/>
        <v>154200.28571428571</v>
      </c>
      <c r="H14" s="64">
        <f t="shared" si="1"/>
        <v>260285.71428571429</v>
      </c>
      <c r="I14" s="64">
        <f t="shared" si="1"/>
        <v>100000</v>
      </c>
      <c r="J14" s="64">
        <f t="shared" si="1"/>
        <v>100000</v>
      </c>
      <c r="K14" s="64">
        <f t="shared" si="1"/>
        <v>100000</v>
      </c>
      <c r="L14" s="64">
        <f t="shared" si="1"/>
        <v>100000</v>
      </c>
      <c r="M14" s="65">
        <f>SUM(E14:L14)</f>
        <v>949333.85714285716</v>
      </c>
    </row>
    <row r="15" spans="1:13" x14ac:dyDescent="0.3">
      <c r="A15" s="539"/>
      <c r="B15" s="540"/>
      <c r="C15" s="531" t="s">
        <v>96</v>
      </c>
      <c r="D15" s="16"/>
      <c r="E15" s="519">
        <f t="shared" si="1"/>
        <v>0</v>
      </c>
      <c r="F15" s="519">
        <f t="shared" si="1"/>
        <v>0</v>
      </c>
      <c r="G15" s="519">
        <f t="shared" si="1"/>
        <v>0</v>
      </c>
      <c r="H15" s="519">
        <f t="shared" si="1"/>
        <v>0</v>
      </c>
      <c r="I15" s="519">
        <f t="shared" si="1"/>
        <v>0</v>
      </c>
      <c r="J15" s="519">
        <f t="shared" si="1"/>
        <v>0</v>
      </c>
      <c r="K15" s="519">
        <f t="shared" si="1"/>
        <v>0</v>
      </c>
      <c r="L15" s="519">
        <f t="shared" si="1"/>
        <v>0</v>
      </c>
      <c r="M15" s="522">
        <v>0</v>
      </c>
    </row>
    <row r="16" spans="1:13" ht="48" customHeight="1" x14ac:dyDescent="0.3">
      <c r="A16" s="539"/>
      <c r="B16" s="540"/>
      <c r="C16" s="532"/>
      <c r="D16" s="18"/>
      <c r="E16" s="392"/>
      <c r="F16" s="392"/>
      <c r="G16" s="392"/>
      <c r="H16" s="392"/>
      <c r="I16" s="392"/>
      <c r="J16" s="392"/>
      <c r="K16" s="392"/>
      <c r="L16" s="392"/>
      <c r="M16" s="522"/>
    </row>
    <row r="17" spans="1:14" ht="28.5" customHeight="1" x14ac:dyDescent="0.3">
      <c r="A17" s="539"/>
      <c r="B17" s="540"/>
      <c r="C17" s="531" t="s">
        <v>97</v>
      </c>
      <c r="D17" s="16"/>
      <c r="E17" s="519">
        <f t="shared" ref="E17:L17" si="2">E26+E164+E241+E339+E409+E500</f>
        <v>0</v>
      </c>
      <c r="F17" s="519">
        <f t="shared" si="2"/>
        <v>0</v>
      </c>
      <c r="G17" s="519">
        <f t="shared" si="2"/>
        <v>0</v>
      </c>
      <c r="H17" s="519">
        <f t="shared" si="2"/>
        <v>0</v>
      </c>
      <c r="I17" s="519">
        <f t="shared" si="2"/>
        <v>0</v>
      </c>
      <c r="J17" s="519">
        <f t="shared" si="2"/>
        <v>0</v>
      </c>
      <c r="K17" s="519">
        <f t="shared" si="2"/>
        <v>0</v>
      </c>
      <c r="L17" s="519">
        <f t="shared" si="2"/>
        <v>0</v>
      </c>
      <c r="M17" s="522">
        <v>0</v>
      </c>
    </row>
    <row r="18" spans="1:14" ht="33.75" customHeight="1" x14ac:dyDescent="0.3">
      <c r="A18" s="539"/>
      <c r="B18" s="540"/>
      <c r="C18" s="532"/>
      <c r="D18" s="18"/>
      <c r="E18" s="392"/>
      <c r="F18" s="392"/>
      <c r="G18" s="392"/>
      <c r="H18" s="392"/>
      <c r="I18" s="392"/>
      <c r="J18" s="392"/>
      <c r="K18" s="392"/>
      <c r="L18" s="392"/>
      <c r="M18" s="522"/>
    </row>
    <row r="19" spans="1:14" ht="21" customHeight="1" x14ac:dyDescent="0.3">
      <c r="A19" s="539"/>
      <c r="B19" s="540"/>
      <c r="C19" s="531" t="s">
        <v>98</v>
      </c>
      <c r="D19" s="16"/>
      <c r="E19" s="519">
        <f t="shared" ref="E19:L19" si="3">E27+E165+E242+E340+E410+E501</f>
        <v>0</v>
      </c>
      <c r="F19" s="519">
        <f t="shared" si="3"/>
        <v>0</v>
      </c>
      <c r="G19" s="519">
        <f t="shared" si="3"/>
        <v>0</v>
      </c>
      <c r="H19" s="519">
        <f t="shared" si="3"/>
        <v>15039.75</v>
      </c>
      <c r="I19" s="519">
        <f t="shared" si="3"/>
        <v>3039.75</v>
      </c>
      <c r="J19" s="519">
        <f t="shared" si="3"/>
        <v>0</v>
      </c>
      <c r="K19" s="519">
        <f t="shared" si="3"/>
        <v>0</v>
      </c>
      <c r="L19" s="519">
        <f t="shared" si="3"/>
        <v>0</v>
      </c>
      <c r="M19" s="522">
        <f>SUM(E19:L20)</f>
        <v>18079.5</v>
      </c>
    </row>
    <row r="20" spans="1:14" ht="26.25" customHeight="1" x14ac:dyDescent="0.3">
      <c r="A20" s="541"/>
      <c r="B20" s="542"/>
      <c r="C20" s="536"/>
      <c r="D20" s="19"/>
      <c r="E20" s="392"/>
      <c r="F20" s="392"/>
      <c r="G20" s="392"/>
      <c r="H20" s="392"/>
      <c r="I20" s="392"/>
      <c r="J20" s="392"/>
      <c r="K20" s="392"/>
      <c r="L20" s="392"/>
      <c r="M20" s="522"/>
    </row>
    <row r="21" spans="1:14" ht="18.75" customHeight="1" x14ac:dyDescent="0.3">
      <c r="A21" s="533" t="s">
        <v>23</v>
      </c>
      <c r="B21" s="543" t="s">
        <v>314</v>
      </c>
      <c r="C21" s="58" t="s">
        <v>27</v>
      </c>
      <c r="D21" s="20"/>
      <c r="E21" s="62">
        <f t="shared" ref="E21:L21" si="4">SUM(E22:E27)</f>
        <v>245694.76</v>
      </c>
      <c r="F21" s="62">
        <f t="shared" si="4"/>
        <v>318249.73714285716</v>
      </c>
      <c r="G21" s="62">
        <f t="shared" si="4"/>
        <v>537596.14007428568</v>
      </c>
      <c r="H21" s="66">
        <f t="shared" si="4"/>
        <v>599295.77528571431</v>
      </c>
      <c r="I21" s="67">
        <f t="shared" si="4"/>
        <v>259767.76</v>
      </c>
      <c r="J21" s="62">
        <f t="shared" si="4"/>
        <v>259509.84</v>
      </c>
      <c r="K21" s="62">
        <f t="shared" si="4"/>
        <v>259509.84</v>
      </c>
      <c r="L21" s="62">
        <f t="shared" si="4"/>
        <v>259509.84</v>
      </c>
      <c r="M21" s="66">
        <f>SUM(E21:L21)</f>
        <v>2739133.6925028567</v>
      </c>
    </row>
    <row r="22" spans="1:14" ht="30" customHeight="1" x14ac:dyDescent="0.3">
      <c r="A22" s="534"/>
      <c r="B22" s="413"/>
      <c r="C22" s="59" t="s">
        <v>93</v>
      </c>
      <c r="D22" s="21"/>
      <c r="E22" s="68">
        <f t="shared" ref="E22:L22" si="5">E29+E78+E146</f>
        <v>0</v>
      </c>
      <c r="F22" s="68">
        <f t="shared" si="5"/>
        <v>62420.58</v>
      </c>
      <c r="G22" s="68">
        <f t="shared" si="5"/>
        <v>37274.6</v>
      </c>
      <c r="H22" s="68">
        <f t="shared" si="5"/>
        <v>0</v>
      </c>
      <c r="I22" s="68">
        <f t="shared" si="5"/>
        <v>0</v>
      </c>
      <c r="J22" s="68">
        <f t="shared" si="5"/>
        <v>0</v>
      </c>
      <c r="K22" s="68">
        <f t="shared" si="5"/>
        <v>0</v>
      </c>
      <c r="L22" s="68">
        <f t="shared" si="5"/>
        <v>0</v>
      </c>
      <c r="M22" s="69">
        <f>SUM(E22:L22)</f>
        <v>99695.18</v>
      </c>
    </row>
    <row r="23" spans="1:14" x14ac:dyDescent="0.3">
      <c r="A23" s="534"/>
      <c r="B23" s="413"/>
      <c r="C23" s="59" t="s">
        <v>94</v>
      </c>
      <c r="D23" s="21"/>
      <c r="E23" s="68">
        <f>'Приложение 5'!H22</f>
        <v>245694.76</v>
      </c>
      <c r="F23" s="70">
        <f>'Приложение 5'!I22</f>
        <v>205626.3</v>
      </c>
      <c r="G23" s="71">
        <f>'Приложение 5'!J22</f>
        <v>350235.25436000002</v>
      </c>
      <c r="H23" s="72">
        <f>'Приложение 5'!K22</f>
        <v>339010.06099999999</v>
      </c>
      <c r="I23" s="73">
        <f>'Приложение 5'!L22</f>
        <v>159767.76</v>
      </c>
      <c r="J23" s="68">
        <f>'Приложение 5'!M22</f>
        <v>159509.84</v>
      </c>
      <c r="K23" s="70">
        <f>'Приложение 5'!N22</f>
        <v>159509.84</v>
      </c>
      <c r="L23" s="70">
        <f>'Приложение 5'!O22</f>
        <v>159509.84</v>
      </c>
      <c r="M23" s="69">
        <f>SUM(E23:L23)</f>
        <v>1778863.6553600002</v>
      </c>
      <c r="N23" s="43"/>
    </row>
    <row r="24" spans="1:14" ht="47.1" customHeight="1" x14ac:dyDescent="0.3">
      <c r="A24" s="534"/>
      <c r="B24" s="413"/>
      <c r="C24" s="59" t="s">
        <v>95</v>
      </c>
      <c r="D24" s="21"/>
      <c r="E24" s="68">
        <f t="shared" ref="E24:L24" si="6">E31+E80+E148</f>
        <v>0</v>
      </c>
      <c r="F24" s="68">
        <f t="shared" si="6"/>
        <v>50202.857142857145</v>
      </c>
      <c r="G24" s="68">
        <f t="shared" si="6"/>
        <v>150086.28571428571</v>
      </c>
      <c r="H24" s="68">
        <f t="shared" si="6"/>
        <v>260285.71428571429</v>
      </c>
      <c r="I24" s="68">
        <f t="shared" si="6"/>
        <v>100000</v>
      </c>
      <c r="J24" s="68">
        <f t="shared" si="6"/>
        <v>100000</v>
      </c>
      <c r="K24" s="68">
        <f t="shared" si="6"/>
        <v>100000</v>
      </c>
      <c r="L24" s="68">
        <f t="shared" si="6"/>
        <v>100000</v>
      </c>
      <c r="M24" s="69">
        <f>SUM(E24:L24)</f>
        <v>860574.85714285716</v>
      </c>
    </row>
    <row r="25" spans="1:14" ht="63" customHeight="1" x14ac:dyDescent="0.3">
      <c r="A25" s="534"/>
      <c r="B25" s="413"/>
      <c r="C25" s="60" t="s">
        <v>96</v>
      </c>
      <c r="D25" s="21"/>
      <c r="E25" s="64">
        <v>0</v>
      </c>
      <c r="F25" s="64">
        <v>0</v>
      </c>
      <c r="G25" s="64">
        <v>0</v>
      </c>
      <c r="H25" s="64">
        <v>0</v>
      </c>
      <c r="I25" s="64">
        <v>0</v>
      </c>
      <c r="J25" s="64">
        <v>0</v>
      </c>
      <c r="K25" s="64">
        <v>0</v>
      </c>
      <c r="L25" s="64">
        <v>0</v>
      </c>
      <c r="M25" s="65">
        <v>0</v>
      </c>
    </row>
    <row r="26" spans="1:14" ht="63.95" customHeight="1" x14ac:dyDescent="0.3">
      <c r="A26" s="534"/>
      <c r="B26" s="413"/>
      <c r="C26" s="59" t="s">
        <v>97</v>
      </c>
      <c r="D26" s="21"/>
      <c r="E26" s="64">
        <v>0</v>
      </c>
      <c r="F26" s="64">
        <v>0</v>
      </c>
      <c r="G26" s="64">
        <v>0</v>
      </c>
      <c r="H26" s="74">
        <v>0</v>
      </c>
      <c r="I26" s="75">
        <v>0</v>
      </c>
      <c r="J26" s="64">
        <v>0</v>
      </c>
      <c r="K26" s="64">
        <v>0</v>
      </c>
      <c r="L26" s="64">
        <v>0</v>
      </c>
      <c r="M26" s="74">
        <v>0</v>
      </c>
    </row>
    <row r="27" spans="1:14" ht="48" customHeight="1" x14ac:dyDescent="0.3">
      <c r="A27" s="535"/>
      <c r="B27" s="544"/>
      <c r="C27" s="59" t="s">
        <v>98</v>
      </c>
      <c r="D27" s="21"/>
      <c r="E27" s="64">
        <v>0</v>
      </c>
      <c r="F27" s="64">
        <v>0</v>
      </c>
      <c r="G27" s="64">
        <v>0</v>
      </c>
      <c r="H27" s="64">
        <v>0</v>
      </c>
      <c r="I27" s="64">
        <v>0</v>
      </c>
      <c r="J27" s="64">
        <v>0</v>
      </c>
      <c r="K27" s="64">
        <v>0</v>
      </c>
      <c r="L27" s="64">
        <v>0</v>
      </c>
      <c r="M27" s="65">
        <v>0</v>
      </c>
    </row>
    <row r="28" spans="1:14" x14ac:dyDescent="0.3">
      <c r="A28" s="533" t="s">
        <v>123</v>
      </c>
      <c r="B28" s="493" t="s">
        <v>365</v>
      </c>
      <c r="C28" s="58" t="s">
        <v>27</v>
      </c>
      <c r="D28" s="95"/>
      <c r="E28" s="62">
        <f>SUM(E29:E34)</f>
        <v>83851</v>
      </c>
      <c r="F28" s="62">
        <f t="shared" ref="F28:L28" si="7">SUM(F29:F34)</f>
        <v>41190</v>
      </c>
      <c r="G28" s="62">
        <f t="shared" si="7"/>
        <v>250.42133999999999</v>
      </c>
      <c r="H28" s="62">
        <f t="shared" si="7"/>
        <v>0</v>
      </c>
      <c r="I28" s="62">
        <f t="shared" si="7"/>
        <v>0</v>
      </c>
      <c r="J28" s="62">
        <f t="shared" si="7"/>
        <v>0</v>
      </c>
      <c r="K28" s="62">
        <f t="shared" si="7"/>
        <v>0</v>
      </c>
      <c r="L28" s="62">
        <f t="shared" si="7"/>
        <v>0</v>
      </c>
      <c r="M28" s="76">
        <f>SUM(E28:L28)</f>
        <v>125291.42134</v>
      </c>
    </row>
    <row r="29" spans="1:14" ht="30" customHeight="1" x14ac:dyDescent="0.3">
      <c r="A29" s="534"/>
      <c r="B29" s="393"/>
      <c r="C29" s="59" t="s">
        <v>93</v>
      </c>
      <c r="D29" s="96"/>
      <c r="E29" s="64">
        <f>E36+E64+E71</f>
        <v>0</v>
      </c>
      <c r="F29" s="64">
        <f t="shared" ref="F29:L29" si="8">F36+F64+F71</f>
        <v>13200</v>
      </c>
      <c r="G29" s="64">
        <f t="shared" si="8"/>
        <v>0</v>
      </c>
      <c r="H29" s="64">
        <f t="shared" si="8"/>
        <v>0</v>
      </c>
      <c r="I29" s="64">
        <f t="shared" si="8"/>
        <v>0</v>
      </c>
      <c r="J29" s="64">
        <f t="shared" si="8"/>
        <v>0</v>
      </c>
      <c r="K29" s="64">
        <f t="shared" si="8"/>
        <v>0</v>
      </c>
      <c r="L29" s="64">
        <f t="shared" si="8"/>
        <v>0</v>
      </c>
      <c r="M29" s="65">
        <f>SUM(E29:L29)</f>
        <v>13200</v>
      </c>
    </row>
    <row r="30" spans="1:14" x14ac:dyDescent="0.3">
      <c r="A30" s="534"/>
      <c r="B30" s="393"/>
      <c r="C30" s="59" t="s">
        <v>94</v>
      </c>
      <c r="D30" s="96"/>
      <c r="E30" s="64">
        <f>'Приложение 5'!H26</f>
        <v>83851</v>
      </c>
      <c r="F30" s="64">
        <f>'Приложение 5'!I26</f>
        <v>27990</v>
      </c>
      <c r="G30" s="64">
        <f>'Приложение 5'!J26</f>
        <v>250.42133999999999</v>
      </c>
      <c r="H30" s="74">
        <f>'Приложение 5'!K25</f>
        <v>0</v>
      </c>
      <c r="I30" s="75">
        <f>'Приложение 5'!L25</f>
        <v>0</v>
      </c>
      <c r="J30" s="64">
        <f>'Приложение 5'!M25</f>
        <v>0</v>
      </c>
      <c r="K30" s="64">
        <f>'Приложение 5'!N25</f>
        <v>0</v>
      </c>
      <c r="L30" s="64">
        <f>'Приложение 5'!O25</f>
        <v>0</v>
      </c>
      <c r="M30" s="74">
        <f>SUM(E30:L30)</f>
        <v>112091.42134</v>
      </c>
    </row>
    <row r="31" spans="1:14" ht="47.1" customHeight="1" x14ac:dyDescent="0.3">
      <c r="A31" s="534"/>
      <c r="B31" s="393"/>
      <c r="C31" s="59" t="s">
        <v>95</v>
      </c>
      <c r="D31" s="96"/>
      <c r="E31" s="64">
        <v>0</v>
      </c>
      <c r="F31" s="64">
        <v>0</v>
      </c>
      <c r="G31" s="64">
        <v>0</v>
      </c>
      <c r="H31" s="64">
        <v>0</v>
      </c>
      <c r="I31" s="64">
        <v>0</v>
      </c>
      <c r="J31" s="64">
        <v>0</v>
      </c>
      <c r="K31" s="64">
        <v>0</v>
      </c>
      <c r="L31" s="64">
        <v>0</v>
      </c>
      <c r="M31" s="65">
        <v>0</v>
      </c>
    </row>
    <row r="32" spans="1:14" ht="63" customHeight="1" x14ac:dyDescent="0.3">
      <c r="A32" s="534"/>
      <c r="B32" s="393"/>
      <c r="C32" s="60" t="s">
        <v>96</v>
      </c>
      <c r="D32" s="96"/>
      <c r="E32" s="64">
        <v>0</v>
      </c>
      <c r="F32" s="64">
        <v>0</v>
      </c>
      <c r="G32" s="64">
        <v>0</v>
      </c>
      <c r="H32" s="64">
        <v>0</v>
      </c>
      <c r="I32" s="64">
        <v>0</v>
      </c>
      <c r="J32" s="64">
        <v>0</v>
      </c>
      <c r="K32" s="64">
        <v>0</v>
      </c>
      <c r="L32" s="64">
        <v>0</v>
      </c>
      <c r="M32" s="65">
        <v>0</v>
      </c>
    </row>
    <row r="33" spans="1:13" ht="63.95" customHeight="1" x14ac:dyDescent="0.3">
      <c r="A33" s="534"/>
      <c r="B33" s="393"/>
      <c r="C33" s="59" t="s">
        <v>97</v>
      </c>
      <c r="D33" s="96"/>
      <c r="E33" s="64">
        <v>0</v>
      </c>
      <c r="F33" s="64">
        <v>0</v>
      </c>
      <c r="G33" s="64">
        <v>0</v>
      </c>
      <c r="H33" s="64">
        <v>0</v>
      </c>
      <c r="I33" s="64">
        <v>0</v>
      </c>
      <c r="J33" s="64">
        <v>0</v>
      </c>
      <c r="K33" s="64">
        <v>0</v>
      </c>
      <c r="L33" s="64">
        <v>0</v>
      </c>
      <c r="M33" s="65">
        <v>0</v>
      </c>
    </row>
    <row r="34" spans="1:13" ht="47.25" customHeight="1" x14ac:dyDescent="0.3">
      <c r="A34" s="535"/>
      <c r="B34" s="506"/>
      <c r="C34" s="59" t="s">
        <v>98</v>
      </c>
      <c r="D34" s="96"/>
      <c r="E34" s="64">
        <v>0</v>
      </c>
      <c r="F34" s="64">
        <v>0</v>
      </c>
      <c r="G34" s="64">
        <v>0</v>
      </c>
      <c r="H34" s="64">
        <v>0</v>
      </c>
      <c r="I34" s="64">
        <v>0</v>
      </c>
      <c r="J34" s="64">
        <v>0</v>
      </c>
      <c r="K34" s="64">
        <v>0</v>
      </c>
      <c r="L34" s="64">
        <v>0</v>
      </c>
      <c r="M34" s="65">
        <v>0</v>
      </c>
    </row>
    <row r="35" spans="1:13" ht="22.5" customHeight="1" x14ac:dyDescent="0.3">
      <c r="A35" s="533" t="s">
        <v>193</v>
      </c>
      <c r="B35" s="493" t="s">
        <v>194</v>
      </c>
      <c r="C35" s="58" t="s">
        <v>27</v>
      </c>
      <c r="D35" s="95"/>
      <c r="E35" s="62">
        <f>SUM(E36:E41)</f>
        <v>80851</v>
      </c>
      <c r="F35" s="62">
        <f t="shared" ref="F35:L35" si="9">SUM(F36:F41)</f>
        <v>32600</v>
      </c>
      <c r="G35" s="62">
        <f t="shared" si="9"/>
        <v>0</v>
      </c>
      <c r="H35" s="62">
        <f t="shared" si="9"/>
        <v>0</v>
      </c>
      <c r="I35" s="62">
        <f t="shared" si="9"/>
        <v>0</v>
      </c>
      <c r="J35" s="62">
        <f t="shared" si="9"/>
        <v>0</v>
      </c>
      <c r="K35" s="62">
        <f t="shared" si="9"/>
        <v>0</v>
      </c>
      <c r="L35" s="62">
        <f t="shared" si="9"/>
        <v>0</v>
      </c>
      <c r="M35" s="76">
        <f>SUM(E35:L35)</f>
        <v>113451</v>
      </c>
    </row>
    <row r="36" spans="1:13" ht="30" customHeight="1" x14ac:dyDescent="0.3">
      <c r="A36" s="534"/>
      <c r="B36" s="393"/>
      <c r="C36" s="59" t="s">
        <v>93</v>
      </c>
      <c r="D36" s="96"/>
      <c r="E36" s="64">
        <f>E43+E50+E57</f>
        <v>0</v>
      </c>
      <c r="F36" s="64">
        <f t="shared" ref="F36:L36" si="10">F43+F50+F57</f>
        <v>13200</v>
      </c>
      <c r="G36" s="64">
        <f t="shared" si="10"/>
        <v>0</v>
      </c>
      <c r="H36" s="64">
        <f t="shared" si="10"/>
        <v>0</v>
      </c>
      <c r="I36" s="64">
        <f t="shared" si="10"/>
        <v>0</v>
      </c>
      <c r="J36" s="64">
        <f t="shared" si="10"/>
        <v>0</v>
      </c>
      <c r="K36" s="64">
        <f t="shared" si="10"/>
        <v>0</v>
      </c>
      <c r="L36" s="64">
        <f t="shared" si="10"/>
        <v>0</v>
      </c>
      <c r="M36" s="65">
        <f>SUM(E36:L36)</f>
        <v>13200</v>
      </c>
    </row>
    <row r="37" spans="1:13" x14ac:dyDescent="0.3">
      <c r="A37" s="534"/>
      <c r="B37" s="393"/>
      <c r="C37" s="59" t="s">
        <v>94</v>
      </c>
      <c r="D37" s="96"/>
      <c r="E37" s="64">
        <f>'Приложение 5'!H28</f>
        <v>80851</v>
      </c>
      <c r="F37" s="64">
        <f>'Приложение 5'!I28</f>
        <v>19400</v>
      </c>
      <c r="G37" s="64">
        <f>'Приложение 5'!J28</f>
        <v>0</v>
      </c>
      <c r="H37" s="74">
        <f>'Приложение 5'!K28</f>
        <v>0</v>
      </c>
      <c r="I37" s="75">
        <f>'Приложение 5'!L28</f>
        <v>0</v>
      </c>
      <c r="J37" s="64">
        <f>'Приложение 5'!M28</f>
        <v>0</v>
      </c>
      <c r="K37" s="64">
        <f>'Приложение 5'!N28</f>
        <v>0</v>
      </c>
      <c r="L37" s="64">
        <f>'Приложение 5'!O28</f>
        <v>0</v>
      </c>
      <c r="M37" s="74">
        <f>SUM(E37:L37)</f>
        <v>100251</v>
      </c>
    </row>
    <row r="38" spans="1:13" ht="47.1" customHeight="1" x14ac:dyDescent="0.3">
      <c r="A38" s="534"/>
      <c r="B38" s="393"/>
      <c r="C38" s="97" t="s">
        <v>95</v>
      </c>
      <c r="D38" s="96"/>
      <c r="E38" s="64">
        <v>0</v>
      </c>
      <c r="F38" s="64">
        <v>0</v>
      </c>
      <c r="G38" s="65">
        <v>0</v>
      </c>
      <c r="H38" s="65">
        <v>0</v>
      </c>
      <c r="I38" s="64">
        <v>0</v>
      </c>
      <c r="J38" s="65">
        <v>0</v>
      </c>
      <c r="K38" s="64">
        <v>0</v>
      </c>
      <c r="L38" s="65">
        <v>0</v>
      </c>
      <c r="M38" s="65">
        <f>SUM(E38:I38)</f>
        <v>0</v>
      </c>
    </row>
    <row r="39" spans="1:13" ht="63" customHeight="1" x14ac:dyDescent="0.3">
      <c r="A39" s="534"/>
      <c r="B39" s="393"/>
      <c r="C39" s="60" t="s">
        <v>96</v>
      </c>
      <c r="D39" s="96"/>
      <c r="E39" s="77">
        <v>0</v>
      </c>
      <c r="F39" s="77">
        <v>0</v>
      </c>
      <c r="G39" s="77">
        <v>0</v>
      </c>
      <c r="H39" s="71">
        <v>0</v>
      </c>
      <c r="I39" s="77">
        <v>0</v>
      </c>
      <c r="J39" s="71">
        <v>0</v>
      </c>
      <c r="K39" s="77">
        <v>0</v>
      </c>
      <c r="L39" s="71">
        <v>0</v>
      </c>
      <c r="M39" s="65">
        <v>0</v>
      </c>
    </row>
    <row r="40" spans="1:13" ht="63.95" customHeight="1" x14ac:dyDescent="0.3">
      <c r="A40" s="534"/>
      <c r="B40" s="393"/>
      <c r="C40" s="59" t="s">
        <v>97</v>
      </c>
      <c r="D40" s="96"/>
      <c r="E40" s="77">
        <v>0</v>
      </c>
      <c r="F40" s="77">
        <v>0</v>
      </c>
      <c r="G40" s="77">
        <v>0</v>
      </c>
      <c r="H40" s="65">
        <v>0</v>
      </c>
      <c r="I40" s="64">
        <v>0</v>
      </c>
      <c r="J40" s="65">
        <v>0</v>
      </c>
      <c r="K40" s="64">
        <v>0</v>
      </c>
      <c r="L40" s="65">
        <v>0</v>
      </c>
      <c r="M40" s="65">
        <v>0</v>
      </c>
    </row>
    <row r="41" spans="1:13" ht="47.1" customHeight="1" x14ac:dyDescent="0.3">
      <c r="A41" s="535"/>
      <c r="B41" s="506"/>
      <c r="C41" s="59" t="s">
        <v>98</v>
      </c>
      <c r="D41" s="96"/>
      <c r="E41" s="77">
        <v>0</v>
      </c>
      <c r="F41" s="77">
        <v>0</v>
      </c>
      <c r="G41" s="77">
        <v>0</v>
      </c>
      <c r="H41" s="65">
        <v>0</v>
      </c>
      <c r="I41" s="64">
        <v>0</v>
      </c>
      <c r="J41" s="65">
        <v>0</v>
      </c>
      <c r="K41" s="64">
        <v>0</v>
      </c>
      <c r="L41" s="65">
        <v>0</v>
      </c>
      <c r="M41" s="65">
        <v>0</v>
      </c>
    </row>
    <row r="42" spans="1:13" x14ac:dyDescent="0.3">
      <c r="A42" s="432" t="s">
        <v>195</v>
      </c>
      <c r="B42" s="509" t="s">
        <v>315</v>
      </c>
      <c r="C42" s="29" t="s">
        <v>27</v>
      </c>
      <c r="D42" s="98">
        <v>755</v>
      </c>
      <c r="E42" s="62">
        <f t="shared" ref="E42:L42" si="11">SUM(E43:E48)</f>
        <v>29000</v>
      </c>
      <c r="F42" s="62">
        <f t="shared" si="11"/>
        <v>4600</v>
      </c>
      <c r="G42" s="62">
        <f t="shared" si="11"/>
        <v>0</v>
      </c>
      <c r="H42" s="63">
        <f t="shared" si="11"/>
        <v>0</v>
      </c>
      <c r="I42" s="62">
        <f t="shared" si="11"/>
        <v>0</v>
      </c>
      <c r="J42" s="62">
        <f t="shared" si="11"/>
        <v>0</v>
      </c>
      <c r="K42" s="62">
        <f t="shared" si="11"/>
        <v>0</v>
      </c>
      <c r="L42" s="62">
        <f t="shared" si="11"/>
        <v>0</v>
      </c>
      <c r="M42" s="63">
        <f>SUM(E42:L42)</f>
        <v>33600</v>
      </c>
    </row>
    <row r="43" spans="1:13" ht="30" customHeight="1" x14ac:dyDescent="0.3">
      <c r="A43" s="402"/>
      <c r="B43" s="449"/>
      <c r="C43" s="30" t="s">
        <v>93</v>
      </c>
      <c r="D43" s="99"/>
      <c r="E43" s="68">
        <v>0</v>
      </c>
      <c r="F43" s="77">
        <v>0</v>
      </c>
      <c r="G43" s="77">
        <v>0</v>
      </c>
      <c r="H43" s="71">
        <v>0</v>
      </c>
      <c r="I43" s="77">
        <v>0</v>
      </c>
      <c r="J43" s="71">
        <v>0</v>
      </c>
      <c r="K43" s="77">
        <v>0</v>
      </c>
      <c r="L43" s="71">
        <v>0</v>
      </c>
      <c r="M43" s="65">
        <f>SUM(E43:I43)</f>
        <v>0</v>
      </c>
    </row>
    <row r="44" spans="1:13" x14ac:dyDescent="0.3">
      <c r="A44" s="402"/>
      <c r="B44" s="449"/>
      <c r="C44" s="31" t="s">
        <v>94</v>
      </c>
      <c r="D44" s="99" t="s">
        <v>35</v>
      </c>
      <c r="E44" s="64">
        <f>'Приложение 5'!H29</f>
        <v>29000</v>
      </c>
      <c r="F44" s="77">
        <f>'Приложение 5'!I30</f>
        <v>4600</v>
      </c>
      <c r="G44" s="77">
        <f>'Приложение 5'!J30</f>
        <v>0</v>
      </c>
      <c r="H44" s="74">
        <f>'Приложение 5'!K30</f>
        <v>0</v>
      </c>
      <c r="I44" s="78">
        <f>'Приложение 5'!L30</f>
        <v>0</v>
      </c>
      <c r="J44" s="64">
        <f>'Приложение 5'!M30</f>
        <v>0</v>
      </c>
      <c r="K44" s="77">
        <f>'Приложение 5'!N30</f>
        <v>0</v>
      </c>
      <c r="L44" s="77">
        <f>'Приложение 5'!O30</f>
        <v>0</v>
      </c>
      <c r="M44" s="65">
        <f>SUM(E44:L44)</f>
        <v>33600</v>
      </c>
    </row>
    <row r="45" spans="1:13" ht="47.1" customHeight="1" x14ac:dyDescent="0.3">
      <c r="A45" s="402"/>
      <c r="B45" s="449"/>
      <c r="C45" s="32" t="s">
        <v>95</v>
      </c>
      <c r="D45" s="99"/>
      <c r="E45" s="64">
        <v>0</v>
      </c>
      <c r="F45" s="64">
        <v>0</v>
      </c>
      <c r="G45" s="65">
        <v>0</v>
      </c>
      <c r="H45" s="65">
        <v>0</v>
      </c>
      <c r="I45" s="64">
        <v>0</v>
      </c>
      <c r="J45" s="65">
        <v>0</v>
      </c>
      <c r="K45" s="64">
        <v>0</v>
      </c>
      <c r="L45" s="65">
        <v>0</v>
      </c>
      <c r="M45" s="65">
        <f>SUM(E45:I45)</f>
        <v>0</v>
      </c>
    </row>
    <row r="46" spans="1:13" ht="63" customHeight="1" x14ac:dyDescent="0.3">
      <c r="A46" s="402"/>
      <c r="B46" s="449"/>
      <c r="C46" s="30" t="s">
        <v>96</v>
      </c>
      <c r="D46" s="99"/>
      <c r="E46" s="77">
        <v>0</v>
      </c>
      <c r="F46" s="77">
        <v>0</v>
      </c>
      <c r="G46" s="77">
        <v>0</v>
      </c>
      <c r="H46" s="71">
        <v>0</v>
      </c>
      <c r="I46" s="77">
        <v>0</v>
      </c>
      <c r="J46" s="71">
        <v>0</v>
      </c>
      <c r="K46" s="77">
        <v>0</v>
      </c>
      <c r="L46" s="71">
        <v>0</v>
      </c>
      <c r="M46" s="65">
        <v>0</v>
      </c>
    </row>
    <row r="47" spans="1:13" ht="63.95" customHeight="1" x14ac:dyDescent="0.3">
      <c r="A47" s="402"/>
      <c r="B47" s="449"/>
      <c r="C47" s="30" t="s">
        <v>97</v>
      </c>
      <c r="D47" s="99"/>
      <c r="E47" s="77">
        <v>0</v>
      </c>
      <c r="F47" s="77">
        <v>0</v>
      </c>
      <c r="G47" s="77">
        <v>0</v>
      </c>
      <c r="H47" s="65">
        <v>0</v>
      </c>
      <c r="I47" s="64">
        <v>0</v>
      </c>
      <c r="J47" s="65">
        <v>0</v>
      </c>
      <c r="K47" s="64">
        <v>0</v>
      </c>
      <c r="L47" s="65">
        <v>0</v>
      </c>
      <c r="M47" s="65">
        <v>0</v>
      </c>
    </row>
    <row r="48" spans="1:13" ht="48" customHeight="1" x14ac:dyDescent="0.3">
      <c r="A48" s="402"/>
      <c r="B48" s="510"/>
      <c r="C48" s="30" t="s">
        <v>98</v>
      </c>
      <c r="D48" s="99"/>
      <c r="E48" s="77">
        <v>0</v>
      </c>
      <c r="F48" s="77">
        <v>0</v>
      </c>
      <c r="G48" s="77">
        <v>0</v>
      </c>
      <c r="H48" s="65">
        <v>0</v>
      </c>
      <c r="I48" s="64">
        <v>0</v>
      </c>
      <c r="J48" s="65">
        <v>0</v>
      </c>
      <c r="K48" s="64">
        <v>0</v>
      </c>
      <c r="L48" s="65">
        <v>0</v>
      </c>
      <c r="M48" s="65">
        <v>0</v>
      </c>
    </row>
    <row r="49" spans="1:13" ht="18.75" customHeight="1" x14ac:dyDescent="0.3">
      <c r="A49" s="432" t="s">
        <v>196</v>
      </c>
      <c r="B49" s="493" t="s">
        <v>99</v>
      </c>
      <c r="C49" s="29" t="s">
        <v>27</v>
      </c>
      <c r="D49" s="99" t="s">
        <v>35</v>
      </c>
      <c r="E49" s="62">
        <f t="shared" ref="E49:L49" si="12">SUM(E50:E55)</f>
        <v>3700</v>
      </c>
      <c r="F49" s="62">
        <f t="shared" si="12"/>
        <v>1000</v>
      </c>
      <c r="G49" s="62">
        <f t="shared" si="12"/>
        <v>0</v>
      </c>
      <c r="H49" s="63">
        <f t="shared" si="12"/>
        <v>0</v>
      </c>
      <c r="I49" s="62">
        <f t="shared" si="12"/>
        <v>0</v>
      </c>
      <c r="J49" s="62">
        <f t="shared" si="12"/>
        <v>0</v>
      </c>
      <c r="K49" s="62">
        <f t="shared" si="12"/>
        <v>0</v>
      </c>
      <c r="L49" s="62">
        <f t="shared" si="12"/>
        <v>0</v>
      </c>
      <c r="M49" s="63">
        <f>SUM(E49:I49)</f>
        <v>4700</v>
      </c>
    </row>
    <row r="50" spans="1:13" ht="30" customHeight="1" x14ac:dyDescent="0.3">
      <c r="A50" s="402"/>
      <c r="B50" s="393"/>
      <c r="C50" s="30" t="s">
        <v>93</v>
      </c>
      <c r="D50" s="99"/>
      <c r="E50" s="68">
        <v>0</v>
      </c>
      <c r="F50" s="77">
        <v>0</v>
      </c>
      <c r="G50" s="77">
        <v>0</v>
      </c>
      <c r="H50" s="71">
        <v>0</v>
      </c>
      <c r="I50" s="77">
        <v>0</v>
      </c>
      <c r="J50" s="71">
        <v>0</v>
      </c>
      <c r="K50" s="77">
        <v>0</v>
      </c>
      <c r="L50" s="71">
        <v>0</v>
      </c>
      <c r="M50" s="65">
        <f>SUM(E50:I50)</f>
        <v>0</v>
      </c>
    </row>
    <row r="51" spans="1:13" x14ac:dyDescent="0.3">
      <c r="A51" s="402"/>
      <c r="B51" s="393"/>
      <c r="C51" s="31" t="s">
        <v>94</v>
      </c>
      <c r="D51" s="99" t="s">
        <v>35</v>
      </c>
      <c r="E51" s="64">
        <f>'Приложение 5'!H31</f>
        <v>3700</v>
      </c>
      <c r="F51" s="64">
        <f>'Приложение 5'!I32</f>
        <v>1000</v>
      </c>
      <c r="G51" s="64">
        <f>'Приложение 5'!J32</f>
        <v>0</v>
      </c>
      <c r="H51" s="65">
        <f>'Приложение 5'!K32</f>
        <v>0</v>
      </c>
      <c r="I51" s="64">
        <f>'Приложение 5'!L32</f>
        <v>0</v>
      </c>
      <c r="J51" s="64">
        <f>'Приложение 5'!M32</f>
        <v>0</v>
      </c>
      <c r="K51" s="64">
        <f>'Приложение 5'!N32</f>
        <v>0</v>
      </c>
      <c r="L51" s="64">
        <f>'Приложение 5'!O32</f>
        <v>0</v>
      </c>
      <c r="M51" s="74">
        <f>SUM(E51:I51)</f>
        <v>4700</v>
      </c>
    </row>
    <row r="52" spans="1:13" ht="47.1" customHeight="1" x14ac:dyDescent="0.3">
      <c r="A52" s="402"/>
      <c r="B52" s="393"/>
      <c r="C52" s="32" t="s">
        <v>95</v>
      </c>
      <c r="D52" s="99"/>
      <c r="E52" s="64">
        <v>0</v>
      </c>
      <c r="F52" s="64">
        <v>0</v>
      </c>
      <c r="G52" s="65">
        <v>0</v>
      </c>
      <c r="H52" s="65">
        <v>0</v>
      </c>
      <c r="I52" s="64">
        <v>0</v>
      </c>
      <c r="J52" s="64">
        <v>0</v>
      </c>
      <c r="K52" s="64">
        <v>0</v>
      </c>
      <c r="L52" s="64">
        <v>0</v>
      </c>
      <c r="M52" s="65">
        <f>SUM(E52:I52)</f>
        <v>0</v>
      </c>
    </row>
    <row r="53" spans="1:13" ht="63" customHeight="1" x14ac:dyDescent="0.3">
      <c r="A53" s="402"/>
      <c r="B53" s="393"/>
      <c r="C53" s="30" t="s">
        <v>96</v>
      </c>
      <c r="D53" s="99"/>
      <c r="E53" s="77">
        <v>0</v>
      </c>
      <c r="F53" s="77">
        <v>0</v>
      </c>
      <c r="G53" s="77">
        <v>0</v>
      </c>
      <c r="H53" s="71">
        <v>0</v>
      </c>
      <c r="I53" s="77">
        <v>0</v>
      </c>
      <c r="J53" s="77">
        <v>0</v>
      </c>
      <c r="K53" s="77">
        <v>0</v>
      </c>
      <c r="L53" s="77">
        <v>0</v>
      </c>
      <c r="M53" s="65">
        <v>0</v>
      </c>
    </row>
    <row r="54" spans="1:13" ht="63.95" customHeight="1" x14ac:dyDescent="0.3">
      <c r="A54" s="402"/>
      <c r="B54" s="393"/>
      <c r="C54" s="30" t="s">
        <v>97</v>
      </c>
      <c r="D54" s="99"/>
      <c r="E54" s="77">
        <v>0</v>
      </c>
      <c r="F54" s="77">
        <v>0</v>
      </c>
      <c r="G54" s="77">
        <v>0</v>
      </c>
      <c r="H54" s="65">
        <v>0</v>
      </c>
      <c r="I54" s="64">
        <v>0</v>
      </c>
      <c r="J54" s="64">
        <v>0</v>
      </c>
      <c r="K54" s="64">
        <v>0</v>
      </c>
      <c r="L54" s="64">
        <v>0</v>
      </c>
      <c r="M54" s="65">
        <v>0</v>
      </c>
    </row>
    <row r="55" spans="1:13" ht="48.75" customHeight="1" x14ac:dyDescent="0.3">
      <c r="A55" s="403"/>
      <c r="B55" s="506"/>
      <c r="C55" s="101" t="s">
        <v>98</v>
      </c>
      <c r="D55" s="99"/>
      <c r="E55" s="64">
        <v>0</v>
      </c>
      <c r="F55" s="64">
        <v>0</v>
      </c>
      <c r="G55" s="64">
        <v>0</v>
      </c>
      <c r="H55" s="65">
        <v>0</v>
      </c>
      <c r="I55" s="64">
        <v>0</v>
      </c>
      <c r="J55" s="64">
        <v>0</v>
      </c>
      <c r="K55" s="64">
        <v>0</v>
      </c>
      <c r="L55" s="65">
        <v>0</v>
      </c>
      <c r="M55" s="65">
        <v>0</v>
      </c>
    </row>
    <row r="56" spans="1:13" x14ac:dyDescent="0.3">
      <c r="A56" s="432" t="s">
        <v>197</v>
      </c>
      <c r="B56" s="509" t="s">
        <v>52</v>
      </c>
      <c r="C56" s="29" t="s">
        <v>27</v>
      </c>
      <c r="D56" s="99" t="s">
        <v>35</v>
      </c>
      <c r="E56" s="62">
        <f t="shared" ref="E56:L56" si="13">SUM(E57:E62)</f>
        <v>48151</v>
      </c>
      <c r="F56" s="62">
        <f t="shared" si="13"/>
        <v>27000</v>
      </c>
      <c r="G56" s="62">
        <f t="shared" si="13"/>
        <v>0</v>
      </c>
      <c r="H56" s="63">
        <f t="shared" si="13"/>
        <v>0</v>
      </c>
      <c r="I56" s="62">
        <f t="shared" si="13"/>
        <v>0</v>
      </c>
      <c r="J56" s="62">
        <f t="shared" si="13"/>
        <v>0</v>
      </c>
      <c r="K56" s="62">
        <f t="shared" si="13"/>
        <v>0</v>
      </c>
      <c r="L56" s="62">
        <f t="shared" si="13"/>
        <v>0</v>
      </c>
      <c r="M56" s="63">
        <f>SUM(E56:I56)</f>
        <v>75151</v>
      </c>
    </row>
    <row r="57" spans="1:13" ht="30" customHeight="1" x14ac:dyDescent="0.3">
      <c r="A57" s="402"/>
      <c r="B57" s="449"/>
      <c r="C57" s="30" t="s">
        <v>93</v>
      </c>
      <c r="D57" s="99" t="s">
        <v>35</v>
      </c>
      <c r="E57" s="68">
        <v>0</v>
      </c>
      <c r="F57" s="77">
        <v>13200</v>
      </c>
      <c r="G57" s="77">
        <v>0</v>
      </c>
      <c r="H57" s="71">
        <v>0</v>
      </c>
      <c r="I57" s="77">
        <v>0</v>
      </c>
      <c r="J57" s="77">
        <v>0</v>
      </c>
      <c r="K57" s="77">
        <v>0</v>
      </c>
      <c r="L57" s="77">
        <v>0</v>
      </c>
      <c r="M57" s="65">
        <f>SUM(E57:L57)</f>
        <v>13200</v>
      </c>
    </row>
    <row r="58" spans="1:13" x14ac:dyDescent="0.3">
      <c r="A58" s="402"/>
      <c r="B58" s="449"/>
      <c r="C58" s="31" t="s">
        <v>94</v>
      </c>
      <c r="D58" s="99" t="s">
        <v>35</v>
      </c>
      <c r="E58" s="64">
        <f>'Приложение 5'!H33</f>
        <v>48151</v>
      </c>
      <c r="F58" s="64">
        <f>'Приложение 5'!I34</f>
        <v>13800</v>
      </c>
      <c r="G58" s="64">
        <f>'Приложение 5'!J34</f>
        <v>0</v>
      </c>
      <c r="H58" s="65">
        <f>'Приложение 5'!K34</f>
        <v>0</v>
      </c>
      <c r="I58" s="64">
        <f>'Приложение 5'!L34</f>
        <v>0</v>
      </c>
      <c r="J58" s="64">
        <f>'Приложение 5'!M34</f>
        <v>0</v>
      </c>
      <c r="K58" s="64">
        <f>'Приложение 5'!N34</f>
        <v>0</v>
      </c>
      <c r="L58" s="64">
        <f>'Приложение 5'!O34</f>
        <v>0</v>
      </c>
      <c r="M58" s="74">
        <f>SUM(E58:I58)</f>
        <v>61951</v>
      </c>
    </row>
    <row r="59" spans="1:13" ht="47.1" customHeight="1" x14ac:dyDescent="0.3">
      <c r="A59" s="402"/>
      <c r="B59" s="449"/>
      <c r="C59" s="32" t="s">
        <v>95</v>
      </c>
      <c r="D59" s="99"/>
      <c r="E59" s="64">
        <v>0</v>
      </c>
      <c r="F59" s="64">
        <v>0</v>
      </c>
      <c r="G59" s="65">
        <v>0</v>
      </c>
      <c r="H59" s="65">
        <v>0</v>
      </c>
      <c r="I59" s="64">
        <v>0</v>
      </c>
      <c r="J59" s="64">
        <v>0</v>
      </c>
      <c r="K59" s="64">
        <v>0</v>
      </c>
      <c r="L59" s="64">
        <v>0</v>
      </c>
      <c r="M59" s="65">
        <f>SUM(E59:I59)</f>
        <v>0</v>
      </c>
    </row>
    <row r="60" spans="1:13" ht="63" customHeight="1" x14ac:dyDescent="0.3">
      <c r="A60" s="402"/>
      <c r="B60" s="449"/>
      <c r="C60" s="30" t="s">
        <v>96</v>
      </c>
      <c r="D60" s="99"/>
      <c r="E60" s="77">
        <v>0</v>
      </c>
      <c r="F60" s="77">
        <v>0</v>
      </c>
      <c r="G60" s="77">
        <v>0</v>
      </c>
      <c r="H60" s="71">
        <v>0</v>
      </c>
      <c r="I60" s="77">
        <v>0</v>
      </c>
      <c r="J60" s="77">
        <v>0</v>
      </c>
      <c r="K60" s="77">
        <v>0</v>
      </c>
      <c r="L60" s="77">
        <v>0</v>
      </c>
      <c r="M60" s="65">
        <v>0</v>
      </c>
    </row>
    <row r="61" spans="1:13" ht="63.95" customHeight="1" x14ac:dyDescent="0.3">
      <c r="A61" s="402"/>
      <c r="B61" s="449"/>
      <c r="C61" s="30" t="s">
        <v>97</v>
      </c>
      <c r="D61" s="99"/>
      <c r="E61" s="77">
        <v>0</v>
      </c>
      <c r="F61" s="77">
        <v>0</v>
      </c>
      <c r="G61" s="77">
        <v>0</v>
      </c>
      <c r="H61" s="65">
        <v>0</v>
      </c>
      <c r="I61" s="64">
        <v>0</v>
      </c>
      <c r="J61" s="64">
        <v>0</v>
      </c>
      <c r="K61" s="64">
        <v>0</v>
      </c>
      <c r="L61" s="64">
        <v>0</v>
      </c>
      <c r="M61" s="65">
        <v>0</v>
      </c>
    </row>
    <row r="62" spans="1:13" ht="48" customHeight="1" x14ac:dyDescent="0.3">
      <c r="A62" s="402"/>
      <c r="B62" s="449"/>
      <c r="C62" s="30" t="s">
        <v>98</v>
      </c>
      <c r="D62" s="99"/>
      <c r="E62" s="77">
        <v>0</v>
      </c>
      <c r="F62" s="77">
        <v>0</v>
      </c>
      <c r="G62" s="77">
        <v>0</v>
      </c>
      <c r="H62" s="65">
        <v>0</v>
      </c>
      <c r="I62" s="64">
        <v>0</v>
      </c>
      <c r="J62" s="64">
        <v>0</v>
      </c>
      <c r="K62" s="64">
        <v>0</v>
      </c>
      <c r="L62" s="64">
        <v>0</v>
      </c>
      <c r="M62" s="65">
        <v>0</v>
      </c>
    </row>
    <row r="63" spans="1:13" ht="18.75" customHeight="1" x14ac:dyDescent="0.3">
      <c r="A63" s="432" t="s">
        <v>198</v>
      </c>
      <c r="B63" s="509" t="s">
        <v>54</v>
      </c>
      <c r="C63" s="29" t="s">
        <v>27</v>
      </c>
      <c r="D63" s="99" t="s">
        <v>35</v>
      </c>
      <c r="E63" s="62">
        <f t="shared" ref="E63:L63" si="14">SUM(E64:E69)</f>
        <v>0</v>
      </c>
      <c r="F63" s="62">
        <f t="shared" si="14"/>
        <v>5500</v>
      </c>
      <c r="G63" s="62">
        <f t="shared" si="14"/>
        <v>238.89434</v>
      </c>
      <c r="H63" s="63">
        <f t="shared" si="14"/>
        <v>0</v>
      </c>
      <c r="I63" s="62">
        <f t="shared" si="14"/>
        <v>0</v>
      </c>
      <c r="J63" s="62">
        <f t="shared" si="14"/>
        <v>0</v>
      </c>
      <c r="K63" s="62">
        <f t="shared" si="14"/>
        <v>0</v>
      </c>
      <c r="L63" s="62">
        <f t="shared" si="14"/>
        <v>0</v>
      </c>
      <c r="M63" s="63">
        <f>SUM(E63:I63)</f>
        <v>5738.8943399999998</v>
      </c>
    </row>
    <row r="64" spans="1:13" ht="30" customHeight="1" x14ac:dyDescent="0.3">
      <c r="A64" s="402"/>
      <c r="B64" s="449"/>
      <c r="C64" s="30" t="s">
        <v>93</v>
      </c>
      <c r="D64" s="99"/>
      <c r="E64" s="68">
        <v>0</v>
      </c>
      <c r="F64" s="77">
        <v>0</v>
      </c>
      <c r="G64" s="77">
        <v>0</v>
      </c>
      <c r="H64" s="71">
        <v>0</v>
      </c>
      <c r="I64" s="77">
        <v>0</v>
      </c>
      <c r="J64" s="71">
        <v>0</v>
      </c>
      <c r="K64" s="77">
        <v>0</v>
      </c>
      <c r="L64" s="71">
        <v>0</v>
      </c>
      <c r="M64" s="65">
        <f>SUM(E64:I64)</f>
        <v>0</v>
      </c>
    </row>
    <row r="65" spans="1:13" ht="18.75" customHeight="1" x14ac:dyDescent="0.3">
      <c r="A65" s="402"/>
      <c r="B65" s="449"/>
      <c r="C65" s="31" t="s">
        <v>94</v>
      </c>
      <c r="D65" s="99" t="s">
        <v>35</v>
      </c>
      <c r="E65" s="64">
        <f>'Приложение 5'!H35</f>
        <v>0</v>
      </c>
      <c r="F65" s="64">
        <f>'Приложение 5'!I36</f>
        <v>5500</v>
      </c>
      <c r="G65" s="64">
        <f>'Приложение 5'!J36</f>
        <v>238.89434</v>
      </c>
      <c r="H65" s="65">
        <f>'Приложение 5'!K36</f>
        <v>0</v>
      </c>
      <c r="I65" s="64">
        <f>'Приложение 5'!L36</f>
        <v>0</v>
      </c>
      <c r="J65" s="64">
        <f>'Приложение 5'!M36</f>
        <v>0</v>
      </c>
      <c r="K65" s="64">
        <f>'Приложение 5'!N36</f>
        <v>0</v>
      </c>
      <c r="L65" s="64">
        <f>'Приложение 5'!O36</f>
        <v>0</v>
      </c>
      <c r="M65" s="74">
        <f>SUM(E65:I65)</f>
        <v>5738.8943399999998</v>
      </c>
    </row>
    <row r="66" spans="1:13" ht="47.1" customHeight="1" x14ac:dyDescent="0.3">
      <c r="A66" s="402"/>
      <c r="B66" s="449"/>
      <c r="C66" s="32" t="s">
        <v>95</v>
      </c>
      <c r="D66" s="99"/>
      <c r="E66" s="64">
        <v>0</v>
      </c>
      <c r="F66" s="64">
        <v>0</v>
      </c>
      <c r="G66" s="65">
        <v>0</v>
      </c>
      <c r="H66" s="65">
        <v>0</v>
      </c>
      <c r="I66" s="64">
        <v>0</v>
      </c>
      <c r="J66" s="64">
        <v>0</v>
      </c>
      <c r="K66" s="64">
        <v>0</v>
      </c>
      <c r="L66" s="64">
        <v>0</v>
      </c>
      <c r="M66" s="65">
        <f>SUM(E66:I66)</f>
        <v>0</v>
      </c>
    </row>
    <row r="67" spans="1:13" ht="63" customHeight="1" x14ac:dyDescent="0.3">
      <c r="A67" s="402"/>
      <c r="B67" s="449"/>
      <c r="C67" s="30" t="s">
        <v>96</v>
      </c>
      <c r="D67" s="99"/>
      <c r="E67" s="77">
        <v>0</v>
      </c>
      <c r="F67" s="77">
        <v>0</v>
      </c>
      <c r="G67" s="77">
        <v>0</v>
      </c>
      <c r="H67" s="71">
        <v>0</v>
      </c>
      <c r="I67" s="77">
        <v>0</v>
      </c>
      <c r="J67" s="77">
        <v>0</v>
      </c>
      <c r="K67" s="77">
        <v>0</v>
      </c>
      <c r="L67" s="77">
        <v>0</v>
      </c>
      <c r="M67" s="65">
        <v>0</v>
      </c>
    </row>
    <row r="68" spans="1:13" ht="63.95" customHeight="1" x14ac:dyDescent="0.3">
      <c r="A68" s="402"/>
      <c r="B68" s="449"/>
      <c r="C68" s="30" t="s">
        <v>97</v>
      </c>
      <c r="D68" s="99"/>
      <c r="E68" s="77">
        <v>0</v>
      </c>
      <c r="F68" s="77">
        <v>0</v>
      </c>
      <c r="G68" s="77">
        <v>0</v>
      </c>
      <c r="H68" s="71">
        <v>0</v>
      </c>
      <c r="I68" s="77">
        <v>0</v>
      </c>
      <c r="J68" s="77">
        <v>0</v>
      </c>
      <c r="K68" s="77">
        <v>0</v>
      </c>
      <c r="L68" s="77">
        <v>0</v>
      </c>
      <c r="M68" s="65">
        <v>0</v>
      </c>
    </row>
    <row r="69" spans="1:13" ht="48" customHeight="1" x14ac:dyDescent="0.3">
      <c r="A69" s="402"/>
      <c r="B69" s="449"/>
      <c r="C69" s="30" t="s">
        <v>98</v>
      </c>
      <c r="D69" s="99"/>
      <c r="E69" s="77">
        <v>0</v>
      </c>
      <c r="F69" s="77">
        <v>0</v>
      </c>
      <c r="G69" s="77">
        <v>0</v>
      </c>
      <c r="H69" s="71">
        <v>0</v>
      </c>
      <c r="I69" s="77">
        <v>0</v>
      </c>
      <c r="J69" s="77">
        <v>0</v>
      </c>
      <c r="K69" s="77">
        <v>0</v>
      </c>
      <c r="L69" s="77">
        <v>0</v>
      </c>
      <c r="M69" s="65">
        <v>0</v>
      </c>
    </row>
    <row r="70" spans="1:13" ht="18.75" customHeight="1" x14ac:dyDescent="0.3">
      <c r="A70" s="432" t="s">
        <v>199</v>
      </c>
      <c r="B70" s="493" t="s">
        <v>56</v>
      </c>
      <c r="C70" s="29" t="s">
        <v>27</v>
      </c>
      <c r="D70" s="99" t="s">
        <v>35</v>
      </c>
      <c r="E70" s="62">
        <f t="shared" ref="E70:L70" si="15">SUM(E71:E76)</f>
        <v>3000</v>
      </c>
      <c r="F70" s="62">
        <f t="shared" si="15"/>
        <v>3090</v>
      </c>
      <c r="G70" s="62">
        <f t="shared" si="15"/>
        <v>11.526999999999999</v>
      </c>
      <c r="H70" s="63">
        <f t="shared" si="15"/>
        <v>0</v>
      </c>
      <c r="I70" s="62">
        <f t="shared" si="15"/>
        <v>0</v>
      </c>
      <c r="J70" s="62">
        <f t="shared" si="15"/>
        <v>0</v>
      </c>
      <c r="K70" s="62">
        <f t="shared" si="15"/>
        <v>0</v>
      </c>
      <c r="L70" s="62">
        <f t="shared" si="15"/>
        <v>0</v>
      </c>
      <c r="M70" s="63">
        <f>SUM(E70:I70)</f>
        <v>6101.527</v>
      </c>
    </row>
    <row r="71" spans="1:13" ht="30" customHeight="1" x14ac:dyDescent="0.3">
      <c r="A71" s="402"/>
      <c r="B71" s="393"/>
      <c r="C71" s="30" t="s">
        <v>93</v>
      </c>
      <c r="D71" s="99"/>
      <c r="E71" s="68">
        <v>0</v>
      </c>
      <c r="F71" s="77">
        <v>0</v>
      </c>
      <c r="G71" s="77">
        <v>0</v>
      </c>
      <c r="H71" s="71">
        <v>0</v>
      </c>
      <c r="I71" s="77">
        <v>0</v>
      </c>
      <c r="J71" s="71">
        <v>0</v>
      </c>
      <c r="K71" s="77">
        <v>0</v>
      </c>
      <c r="L71" s="71">
        <v>0</v>
      </c>
      <c r="M71" s="65">
        <f>SUM(E71:I71)</f>
        <v>0</v>
      </c>
    </row>
    <row r="72" spans="1:13" ht="18.75" customHeight="1" x14ac:dyDescent="0.3">
      <c r="A72" s="402"/>
      <c r="B72" s="393"/>
      <c r="C72" s="31" t="s">
        <v>94</v>
      </c>
      <c r="D72" s="99" t="s">
        <v>35</v>
      </c>
      <c r="E72" s="64">
        <f>'Приложение 5'!H37</f>
        <v>3000</v>
      </c>
      <c r="F72" s="64">
        <f>'Приложение 5'!I38</f>
        <v>3090</v>
      </c>
      <c r="G72" s="64">
        <f>'Приложение 5'!J38</f>
        <v>11.526999999999999</v>
      </c>
      <c r="H72" s="65">
        <f>'Приложение 5'!K38</f>
        <v>0</v>
      </c>
      <c r="I72" s="64">
        <f>'Приложение 5'!L38</f>
        <v>0</v>
      </c>
      <c r="J72" s="64">
        <f>'Приложение 5'!M38</f>
        <v>0</v>
      </c>
      <c r="K72" s="64">
        <f>'Приложение 5'!N38</f>
        <v>0</v>
      </c>
      <c r="L72" s="64">
        <f>'Приложение 5'!O38</f>
        <v>0</v>
      </c>
      <c r="M72" s="74">
        <f>SUM(E72:I72)</f>
        <v>6101.527</v>
      </c>
    </row>
    <row r="73" spans="1:13" ht="47.1" customHeight="1" x14ac:dyDescent="0.3">
      <c r="A73" s="402"/>
      <c r="B73" s="393"/>
      <c r="C73" s="32" t="s">
        <v>95</v>
      </c>
      <c r="D73" s="99"/>
      <c r="E73" s="64">
        <v>0</v>
      </c>
      <c r="F73" s="64">
        <v>0</v>
      </c>
      <c r="G73" s="65">
        <v>0</v>
      </c>
      <c r="H73" s="65">
        <v>0</v>
      </c>
      <c r="I73" s="64">
        <v>0</v>
      </c>
      <c r="J73" s="64">
        <v>0</v>
      </c>
      <c r="K73" s="64">
        <v>0</v>
      </c>
      <c r="L73" s="64">
        <v>0</v>
      </c>
      <c r="M73" s="65">
        <f>SUM(E73:I73)</f>
        <v>0</v>
      </c>
    </row>
    <row r="74" spans="1:13" ht="63" customHeight="1" x14ac:dyDescent="0.3">
      <c r="A74" s="402"/>
      <c r="B74" s="393"/>
      <c r="C74" s="30" t="s">
        <v>96</v>
      </c>
      <c r="D74" s="99"/>
      <c r="E74" s="77">
        <v>0</v>
      </c>
      <c r="F74" s="77">
        <v>0</v>
      </c>
      <c r="G74" s="77">
        <v>0</v>
      </c>
      <c r="H74" s="71">
        <v>0</v>
      </c>
      <c r="I74" s="77">
        <v>0</v>
      </c>
      <c r="J74" s="77">
        <v>0</v>
      </c>
      <c r="K74" s="77">
        <v>0</v>
      </c>
      <c r="L74" s="77">
        <v>0</v>
      </c>
      <c r="M74" s="65">
        <v>0</v>
      </c>
    </row>
    <row r="75" spans="1:13" ht="63.95" customHeight="1" x14ac:dyDescent="0.3">
      <c r="A75" s="402"/>
      <c r="B75" s="393"/>
      <c r="C75" s="30" t="s">
        <v>97</v>
      </c>
      <c r="D75" s="99"/>
      <c r="E75" s="77">
        <v>0</v>
      </c>
      <c r="F75" s="77">
        <v>0</v>
      </c>
      <c r="G75" s="77">
        <v>0</v>
      </c>
      <c r="H75" s="71">
        <v>0</v>
      </c>
      <c r="I75" s="77">
        <v>0</v>
      </c>
      <c r="J75" s="77">
        <v>0</v>
      </c>
      <c r="K75" s="77">
        <v>0</v>
      </c>
      <c r="L75" s="77">
        <v>0</v>
      </c>
      <c r="M75" s="65">
        <v>0</v>
      </c>
    </row>
    <row r="76" spans="1:13" ht="45.75" customHeight="1" x14ac:dyDescent="0.3">
      <c r="A76" s="403"/>
      <c r="B76" s="506"/>
      <c r="C76" s="101" t="s">
        <v>98</v>
      </c>
      <c r="D76" s="99"/>
      <c r="E76" s="65">
        <v>0</v>
      </c>
      <c r="F76" s="65">
        <v>0</v>
      </c>
      <c r="G76" s="65">
        <v>0</v>
      </c>
      <c r="H76" s="65">
        <v>0</v>
      </c>
      <c r="I76" s="65">
        <v>0</v>
      </c>
      <c r="J76" s="65">
        <v>0</v>
      </c>
      <c r="K76" s="65">
        <v>0</v>
      </c>
      <c r="L76" s="65">
        <v>0</v>
      </c>
      <c r="M76" s="65">
        <v>0</v>
      </c>
    </row>
    <row r="77" spans="1:13" ht="18.75" customHeight="1" x14ac:dyDescent="0.3">
      <c r="A77" s="432" t="s">
        <v>124</v>
      </c>
      <c r="B77" s="509" t="s">
        <v>366</v>
      </c>
      <c r="C77" s="29" t="s">
        <v>27</v>
      </c>
      <c r="D77" s="100"/>
      <c r="E77" s="79">
        <f>SUM(E78:E83)</f>
        <v>152050</v>
      </c>
      <c r="F77" s="79">
        <f t="shared" ref="F77:L77" si="16">SUM(F78:F83)</f>
        <v>263059.73714285716</v>
      </c>
      <c r="G77" s="79">
        <f t="shared" si="16"/>
        <v>527896.64721428568</v>
      </c>
      <c r="H77" s="79">
        <f t="shared" si="16"/>
        <v>596461.05428571429</v>
      </c>
      <c r="I77" s="79">
        <f t="shared" si="16"/>
        <v>259767.76</v>
      </c>
      <c r="J77" s="79">
        <f t="shared" si="16"/>
        <v>259509.84</v>
      </c>
      <c r="K77" s="79">
        <f t="shared" si="16"/>
        <v>259509.84</v>
      </c>
      <c r="L77" s="79">
        <f t="shared" si="16"/>
        <v>259509.84</v>
      </c>
      <c r="M77" s="63">
        <f>SUM(E77:L77)</f>
        <v>2577764.7186428569</v>
      </c>
    </row>
    <row r="78" spans="1:13" ht="30" customHeight="1" x14ac:dyDescent="0.3">
      <c r="A78" s="402"/>
      <c r="B78" s="449"/>
      <c r="C78" s="30" t="s">
        <v>93</v>
      </c>
      <c r="D78" s="99"/>
      <c r="E78" s="77">
        <f>E85+E95+E105+E115+E125+E132</f>
        <v>0</v>
      </c>
      <c r="F78" s="77">
        <f t="shared" ref="F78:L78" si="17">F85+F95+F105+F115+F125+F132</f>
        <v>49220.58</v>
      </c>
      <c r="G78" s="77">
        <f t="shared" si="17"/>
        <v>37274.6</v>
      </c>
      <c r="H78" s="77">
        <f t="shared" si="17"/>
        <v>0</v>
      </c>
      <c r="I78" s="77">
        <f t="shared" si="17"/>
        <v>0</v>
      </c>
      <c r="J78" s="77">
        <f t="shared" si="17"/>
        <v>0</v>
      </c>
      <c r="K78" s="77">
        <f t="shared" si="17"/>
        <v>0</v>
      </c>
      <c r="L78" s="77">
        <f t="shared" si="17"/>
        <v>0</v>
      </c>
      <c r="M78" s="65">
        <f>SUM(E78:L78)</f>
        <v>86495.18</v>
      </c>
    </row>
    <row r="79" spans="1:13" ht="18.75" customHeight="1" x14ac:dyDescent="0.3">
      <c r="A79" s="402"/>
      <c r="B79" s="449"/>
      <c r="C79" s="31" t="s">
        <v>94</v>
      </c>
      <c r="D79" s="99"/>
      <c r="E79" s="77">
        <f>'Приложение 5'!H40</f>
        <v>152050</v>
      </c>
      <c r="F79" s="77">
        <f>'Приложение 5'!I40</f>
        <v>163636.29999999999</v>
      </c>
      <c r="G79" s="77">
        <f>'Приложение 5'!J40</f>
        <v>340535.76150000002</v>
      </c>
      <c r="H79" s="71">
        <f>'Приложение 5'!K39</f>
        <v>336175.33999999997</v>
      </c>
      <c r="I79" s="77">
        <f>'Приложение 5'!L39</f>
        <v>159767.76</v>
      </c>
      <c r="J79" s="77">
        <f>'Приложение 5'!M39</f>
        <v>159509.84</v>
      </c>
      <c r="K79" s="77">
        <f>'Приложение 5'!N39</f>
        <v>159509.84</v>
      </c>
      <c r="L79" s="77">
        <f>'Приложение 5'!O39</f>
        <v>159509.84</v>
      </c>
      <c r="M79" s="65">
        <f>SUM(E79:L79)</f>
        <v>1630694.6815000002</v>
      </c>
    </row>
    <row r="80" spans="1:13" ht="47.1" customHeight="1" x14ac:dyDescent="0.3">
      <c r="A80" s="402"/>
      <c r="B80" s="449"/>
      <c r="C80" s="32" t="s">
        <v>95</v>
      </c>
      <c r="D80" s="99"/>
      <c r="E80" s="77">
        <f>E87+E97+E107+E117+E127+E134</f>
        <v>0</v>
      </c>
      <c r="F80" s="77">
        <f t="shared" ref="F80:L80" si="18">F87+F97+F107+F117+F127+F134</f>
        <v>50202.857142857145</v>
      </c>
      <c r="G80" s="77">
        <f t="shared" si="18"/>
        <v>150086.28571428571</v>
      </c>
      <c r="H80" s="77">
        <f t="shared" si="18"/>
        <v>260285.71428571429</v>
      </c>
      <c r="I80" s="77">
        <f t="shared" si="18"/>
        <v>100000</v>
      </c>
      <c r="J80" s="77">
        <f t="shared" si="18"/>
        <v>100000</v>
      </c>
      <c r="K80" s="77">
        <f t="shared" si="18"/>
        <v>100000</v>
      </c>
      <c r="L80" s="77">
        <f t="shared" si="18"/>
        <v>100000</v>
      </c>
      <c r="M80" s="65">
        <f>SUM(E80:L80)</f>
        <v>860574.85714285716</v>
      </c>
    </row>
    <row r="81" spans="1:13" ht="63" customHeight="1" x14ac:dyDescent="0.3">
      <c r="A81" s="402"/>
      <c r="B81" s="449"/>
      <c r="C81" s="30" t="s">
        <v>96</v>
      </c>
      <c r="D81" s="99"/>
      <c r="E81" s="77">
        <v>0</v>
      </c>
      <c r="F81" s="77">
        <v>0</v>
      </c>
      <c r="G81" s="77">
        <v>0</v>
      </c>
      <c r="H81" s="77">
        <v>0</v>
      </c>
      <c r="I81" s="77">
        <v>0</v>
      </c>
      <c r="J81" s="77">
        <v>0</v>
      </c>
      <c r="K81" s="77">
        <v>0</v>
      </c>
      <c r="L81" s="77">
        <v>0</v>
      </c>
      <c r="M81" s="65">
        <v>0</v>
      </c>
    </row>
    <row r="82" spans="1:13" ht="63.95" customHeight="1" x14ac:dyDescent="0.3">
      <c r="A82" s="402"/>
      <c r="B82" s="449"/>
      <c r="C82" s="30" t="s">
        <v>97</v>
      </c>
      <c r="D82" s="99"/>
      <c r="E82" s="77">
        <v>0</v>
      </c>
      <c r="F82" s="77">
        <v>0</v>
      </c>
      <c r="G82" s="77">
        <v>0</v>
      </c>
      <c r="H82" s="77">
        <v>0</v>
      </c>
      <c r="I82" s="77">
        <v>0</v>
      </c>
      <c r="J82" s="77">
        <v>0</v>
      </c>
      <c r="K82" s="77">
        <v>0</v>
      </c>
      <c r="L82" s="77">
        <v>0</v>
      </c>
      <c r="M82" s="65">
        <v>0</v>
      </c>
    </row>
    <row r="83" spans="1:13" ht="30" x14ac:dyDescent="0.3">
      <c r="A83" s="403"/>
      <c r="B83" s="510"/>
      <c r="C83" s="30" t="s">
        <v>98</v>
      </c>
      <c r="D83" s="99"/>
      <c r="E83" s="77">
        <v>0</v>
      </c>
      <c r="F83" s="77">
        <v>0</v>
      </c>
      <c r="G83" s="77">
        <v>0</v>
      </c>
      <c r="H83" s="77">
        <v>0</v>
      </c>
      <c r="I83" s="77">
        <v>0</v>
      </c>
      <c r="J83" s="77">
        <v>0</v>
      </c>
      <c r="K83" s="77">
        <v>0</v>
      </c>
      <c r="L83" s="77">
        <v>0</v>
      </c>
      <c r="M83" s="65">
        <v>0</v>
      </c>
    </row>
    <row r="84" spans="1:13" ht="18.75" customHeight="1" x14ac:dyDescent="0.3">
      <c r="A84" s="432" t="s">
        <v>125</v>
      </c>
      <c r="B84" s="509" t="s">
        <v>329</v>
      </c>
      <c r="C84" s="29" t="s">
        <v>27</v>
      </c>
      <c r="D84" s="99" t="s">
        <v>35</v>
      </c>
      <c r="E84" s="62">
        <f t="shared" ref="E84:L84" si="19">SUM(E85:E93)</f>
        <v>14000</v>
      </c>
      <c r="F84" s="62">
        <f t="shared" si="19"/>
        <v>36186.300000000003</v>
      </c>
      <c r="G84" s="62">
        <f t="shared" si="19"/>
        <v>48267.761500000001</v>
      </c>
      <c r="H84" s="63">
        <f t="shared" si="19"/>
        <v>49375.34</v>
      </c>
      <c r="I84" s="62">
        <f t="shared" si="19"/>
        <v>48267.76</v>
      </c>
      <c r="J84" s="62">
        <f t="shared" si="19"/>
        <v>48009.84</v>
      </c>
      <c r="K84" s="62">
        <f t="shared" si="19"/>
        <v>48009.84</v>
      </c>
      <c r="L84" s="62">
        <f t="shared" si="19"/>
        <v>48009.84</v>
      </c>
      <c r="M84" s="63">
        <f>SUM(E84:L84)</f>
        <v>340126.68149999995</v>
      </c>
    </row>
    <row r="85" spans="1:13" ht="30" customHeight="1" x14ac:dyDescent="0.3">
      <c r="A85" s="402"/>
      <c r="B85" s="449"/>
      <c r="C85" s="30" t="s">
        <v>93</v>
      </c>
      <c r="D85" s="99"/>
      <c r="E85" s="68">
        <v>0</v>
      </c>
      <c r="F85" s="77">
        <v>0</v>
      </c>
      <c r="G85" s="77">
        <v>0</v>
      </c>
      <c r="H85" s="71">
        <v>0</v>
      </c>
      <c r="I85" s="77">
        <v>0</v>
      </c>
      <c r="J85" s="71">
        <v>0</v>
      </c>
      <c r="K85" s="77">
        <v>0</v>
      </c>
      <c r="L85" s="71">
        <v>0</v>
      </c>
      <c r="M85" s="65">
        <f>SUM(E85:I85)</f>
        <v>0</v>
      </c>
    </row>
    <row r="86" spans="1:13" ht="18.75" customHeight="1" x14ac:dyDescent="0.3">
      <c r="A86" s="402"/>
      <c r="B86" s="449"/>
      <c r="C86" s="31" t="s">
        <v>94</v>
      </c>
      <c r="D86" s="99" t="s">
        <v>35</v>
      </c>
      <c r="E86" s="64">
        <f>'Приложение 5'!H42</f>
        <v>14000</v>
      </c>
      <c r="F86" s="77">
        <f>'Приложение 5'!I43</f>
        <v>36186.300000000003</v>
      </c>
      <c r="G86" s="77">
        <f>'Приложение 5'!J43</f>
        <v>48267.761500000001</v>
      </c>
      <c r="H86" s="74">
        <f>'Приложение 5'!K44</f>
        <v>49375.34</v>
      </c>
      <c r="I86" s="78">
        <f>'Приложение 5'!L44</f>
        <v>48267.76</v>
      </c>
      <c r="J86" s="64">
        <f>'Приложение 5'!M44</f>
        <v>48009.84</v>
      </c>
      <c r="K86" s="77">
        <f>'Приложение 5'!N44</f>
        <v>48009.84</v>
      </c>
      <c r="L86" s="77">
        <f>'Приложение 5'!O44</f>
        <v>48009.84</v>
      </c>
      <c r="M86" s="74">
        <f>SUM(E86:L86)</f>
        <v>340126.68149999995</v>
      </c>
    </row>
    <row r="87" spans="1:13" ht="47.1" customHeight="1" x14ac:dyDescent="0.3">
      <c r="A87" s="402"/>
      <c r="B87" s="449"/>
      <c r="C87" s="32" t="s">
        <v>95</v>
      </c>
      <c r="D87" s="99"/>
      <c r="E87" s="64">
        <v>0</v>
      </c>
      <c r="F87" s="64">
        <v>0</v>
      </c>
      <c r="G87" s="65">
        <v>0</v>
      </c>
      <c r="H87" s="65">
        <v>0</v>
      </c>
      <c r="I87" s="64">
        <v>0</v>
      </c>
      <c r="J87" s="65">
        <v>0</v>
      </c>
      <c r="K87" s="64">
        <v>0</v>
      </c>
      <c r="L87" s="65">
        <v>0</v>
      </c>
      <c r="M87" s="65">
        <f>SUM(E87:I87)</f>
        <v>0</v>
      </c>
    </row>
    <row r="88" spans="1:13" x14ac:dyDescent="0.3">
      <c r="A88" s="402"/>
      <c r="B88" s="449"/>
      <c r="C88" s="531" t="s">
        <v>96</v>
      </c>
      <c r="D88" s="545"/>
      <c r="E88" s="520">
        <v>0</v>
      </c>
      <c r="F88" s="520">
        <v>0</v>
      </c>
      <c r="G88" s="520">
        <v>0</v>
      </c>
      <c r="H88" s="519">
        <v>0</v>
      </c>
      <c r="I88" s="520">
        <v>0</v>
      </c>
      <c r="J88" s="519">
        <v>0</v>
      </c>
      <c r="K88" s="520">
        <v>0</v>
      </c>
      <c r="L88" s="519">
        <v>0</v>
      </c>
      <c r="M88" s="522">
        <v>0</v>
      </c>
    </row>
    <row r="89" spans="1:13" ht="45" customHeight="1" x14ac:dyDescent="0.3">
      <c r="A89" s="402"/>
      <c r="B89" s="449"/>
      <c r="C89" s="532"/>
      <c r="D89" s="546"/>
      <c r="E89" s="521"/>
      <c r="F89" s="521"/>
      <c r="G89" s="521"/>
      <c r="H89" s="391"/>
      <c r="I89" s="524"/>
      <c r="J89" s="391"/>
      <c r="K89" s="524"/>
      <c r="L89" s="391"/>
      <c r="M89" s="522"/>
    </row>
    <row r="90" spans="1:13" ht="36" customHeight="1" x14ac:dyDescent="0.3">
      <c r="A90" s="402"/>
      <c r="B90" s="449"/>
      <c r="C90" s="531" t="s">
        <v>97</v>
      </c>
      <c r="D90" s="545"/>
      <c r="E90" s="520">
        <v>0</v>
      </c>
      <c r="F90" s="520">
        <v>0</v>
      </c>
      <c r="G90" s="520">
        <v>0</v>
      </c>
      <c r="H90" s="522">
        <v>0</v>
      </c>
      <c r="I90" s="523">
        <v>0</v>
      </c>
      <c r="J90" s="522">
        <v>0</v>
      </c>
      <c r="K90" s="523">
        <v>0</v>
      </c>
      <c r="L90" s="522">
        <v>0</v>
      </c>
      <c r="M90" s="522">
        <v>0</v>
      </c>
    </row>
    <row r="91" spans="1:13" ht="27" customHeight="1" x14ac:dyDescent="0.3">
      <c r="A91" s="402"/>
      <c r="B91" s="449"/>
      <c r="C91" s="532"/>
      <c r="D91" s="546"/>
      <c r="E91" s="521"/>
      <c r="F91" s="521"/>
      <c r="G91" s="521"/>
      <c r="H91" s="519"/>
      <c r="I91" s="520"/>
      <c r="J91" s="519"/>
      <c r="K91" s="520"/>
      <c r="L91" s="519"/>
      <c r="M91" s="522"/>
    </row>
    <row r="92" spans="1:13" ht="23.25" customHeight="1" x14ac:dyDescent="0.3">
      <c r="A92" s="402"/>
      <c r="B92" s="449"/>
      <c r="C92" s="531" t="s">
        <v>98</v>
      </c>
      <c r="D92" s="545"/>
      <c r="E92" s="520">
        <v>0</v>
      </c>
      <c r="F92" s="520">
        <v>0</v>
      </c>
      <c r="G92" s="520">
        <v>0</v>
      </c>
      <c r="H92" s="522">
        <v>0</v>
      </c>
      <c r="I92" s="523">
        <v>0</v>
      </c>
      <c r="J92" s="522">
        <v>0</v>
      </c>
      <c r="K92" s="523">
        <v>0</v>
      </c>
      <c r="L92" s="522">
        <v>0</v>
      </c>
      <c r="M92" s="522">
        <v>0</v>
      </c>
    </row>
    <row r="93" spans="1:13" ht="9" customHeight="1" x14ac:dyDescent="0.3">
      <c r="A93" s="403"/>
      <c r="B93" s="449"/>
      <c r="C93" s="536"/>
      <c r="D93" s="546"/>
      <c r="E93" s="521"/>
      <c r="F93" s="521"/>
      <c r="G93" s="521"/>
      <c r="H93" s="519"/>
      <c r="I93" s="520"/>
      <c r="J93" s="519"/>
      <c r="K93" s="520"/>
      <c r="L93" s="519"/>
      <c r="M93" s="522"/>
    </row>
    <row r="94" spans="1:13" ht="18.75" customHeight="1" x14ac:dyDescent="0.3">
      <c r="A94" s="432" t="s">
        <v>318</v>
      </c>
      <c r="B94" s="509" t="s">
        <v>143</v>
      </c>
      <c r="C94" s="29" t="s">
        <v>27</v>
      </c>
      <c r="D94" s="99" t="s">
        <v>35</v>
      </c>
      <c r="E94" s="62">
        <f t="shared" ref="E94:L94" si="20">SUM(E95:E103)</f>
        <v>84050</v>
      </c>
      <c r="F94" s="62">
        <f t="shared" si="20"/>
        <v>18114.28</v>
      </c>
      <c r="G94" s="62">
        <f t="shared" si="20"/>
        <v>12800</v>
      </c>
      <c r="H94" s="63">
        <f t="shared" si="20"/>
        <v>12800</v>
      </c>
      <c r="I94" s="62">
        <f t="shared" si="20"/>
        <v>11500</v>
      </c>
      <c r="J94" s="62">
        <f t="shared" si="20"/>
        <v>11500</v>
      </c>
      <c r="K94" s="62">
        <f t="shared" si="20"/>
        <v>11500</v>
      </c>
      <c r="L94" s="62">
        <f t="shared" si="20"/>
        <v>11500</v>
      </c>
      <c r="M94" s="63">
        <f>SUM(E94:L94)</f>
        <v>173764.28</v>
      </c>
    </row>
    <row r="95" spans="1:13" ht="30" customHeight="1" x14ac:dyDescent="0.3">
      <c r="A95" s="402"/>
      <c r="B95" s="449"/>
      <c r="C95" s="30" t="s">
        <v>93</v>
      </c>
      <c r="D95" s="99" t="s">
        <v>35</v>
      </c>
      <c r="E95" s="68">
        <v>0</v>
      </c>
      <c r="F95" s="77">
        <v>7804.28</v>
      </c>
      <c r="G95" s="77">
        <v>0</v>
      </c>
      <c r="H95" s="71">
        <v>0</v>
      </c>
      <c r="I95" s="77">
        <v>0</v>
      </c>
      <c r="J95" s="71">
        <v>0</v>
      </c>
      <c r="K95" s="77">
        <v>0</v>
      </c>
      <c r="L95" s="71">
        <v>0</v>
      </c>
      <c r="M95" s="65">
        <f>SUM(E95:I95)</f>
        <v>7804.28</v>
      </c>
    </row>
    <row r="96" spans="1:13" ht="18.75" customHeight="1" x14ac:dyDescent="0.3">
      <c r="A96" s="402"/>
      <c r="B96" s="449"/>
      <c r="C96" s="31" t="s">
        <v>94</v>
      </c>
      <c r="D96" s="99" t="s">
        <v>35</v>
      </c>
      <c r="E96" s="64">
        <f>'Приложение 5'!H45</f>
        <v>84050</v>
      </c>
      <c r="F96" s="64">
        <f>'Приложение 5'!I46+'Приложение 5'!I47</f>
        <v>10310</v>
      </c>
      <c r="G96" s="64">
        <f>'Приложение 5'!J46+'Приложение 5'!J47</f>
        <v>12800</v>
      </c>
      <c r="H96" s="65">
        <f>'Приложение 5'!K48+'Приложение 5'!K49</f>
        <v>12800</v>
      </c>
      <c r="I96" s="65">
        <f>'Приложение 5'!L48+'Приложение 5'!L49</f>
        <v>11500</v>
      </c>
      <c r="J96" s="65">
        <f>'Приложение 5'!M48+'Приложение 5'!M49</f>
        <v>11500</v>
      </c>
      <c r="K96" s="65">
        <f>'Приложение 5'!N48+'Приложение 5'!N49</f>
        <v>11500</v>
      </c>
      <c r="L96" s="65">
        <f>'Приложение 5'!O48+'Приложение 5'!O49</f>
        <v>11500</v>
      </c>
      <c r="M96" s="74">
        <f>SUM(E96:L96)</f>
        <v>165960</v>
      </c>
    </row>
    <row r="97" spans="1:16" ht="47.1" customHeight="1" x14ac:dyDescent="0.3">
      <c r="A97" s="402"/>
      <c r="B97" s="449"/>
      <c r="C97" s="32" t="s">
        <v>95</v>
      </c>
      <c r="D97" s="99"/>
      <c r="E97" s="64">
        <v>0</v>
      </c>
      <c r="F97" s="64">
        <v>0</v>
      </c>
      <c r="G97" s="65">
        <v>0</v>
      </c>
      <c r="H97" s="65">
        <v>0</v>
      </c>
      <c r="I97" s="64">
        <v>0</v>
      </c>
      <c r="J97" s="65">
        <v>0</v>
      </c>
      <c r="K97" s="64">
        <v>0</v>
      </c>
      <c r="L97" s="65">
        <v>0</v>
      </c>
      <c r="M97" s="65">
        <f>SUM(E97:I97)</f>
        <v>0</v>
      </c>
    </row>
    <row r="98" spans="1:16" x14ac:dyDescent="0.3">
      <c r="A98" s="402"/>
      <c r="B98" s="449"/>
      <c r="C98" s="531" t="s">
        <v>96</v>
      </c>
      <c r="D98" s="545"/>
      <c r="E98" s="520">
        <v>0</v>
      </c>
      <c r="F98" s="520">
        <v>0</v>
      </c>
      <c r="G98" s="520">
        <v>0</v>
      </c>
      <c r="H98" s="519">
        <v>0</v>
      </c>
      <c r="I98" s="520">
        <v>0</v>
      </c>
      <c r="J98" s="519">
        <v>0</v>
      </c>
      <c r="K98" s="520">
        <v>0</v>
      </c>
      <c r="L98" s="519">
        <v>0</v>
      </c>
      <c r="M98" s="522">
        <v>0</v>
      </c>
    </row>
    <row r="99" spans="1:16" ht="44.25" customHeight="1" x14ac:dyDescent="0.3">
      <c r="A99" s="402"/>
      <c r="B99" s="449"/>
      <c r="C99" s="532"/>
      <c r="D99" s="546"/>
      <c r="E99" s="521"/>
      <c r="F99" s="521"/>
      <c r="G99" s="521"/>
      <c r="H99" s="391"/>
      <c r="I99" s="524"/>
      <c r="J99" s="391"/>
      <c r="K99" s="524"/>
      <c r="L99" s="391"/>
      <c r="M99" s="522"/>
    </row>
    <row r="100" spans="1:16" ht="33.75" customHeight="1" x14ac:dyDescent="0.3">
      <c r="A100" s="402"/>
      <c r="B100" s="449"/>
      <c r="C100" s="531" t="s">
        <v>97</v>
      </c>
      <c r="D100" s="545"/>
      <c r="E100" s="520">
        <v>0</v>
      </c>
      <c r="F100" s="520">
        <v>0</v>
      </c>
      <c r="G100" s="520">
        <v>0</v>
      </c>
      <c r="H100" s="522">
        <v>0</v>
      </c>
      <c r="I100" s="523">
        <v>0</v>
      </c>
      <c r="J100" s="522">
        <v>0</v>
      </c>
      <c r="K100" s="523">
        <v>0</v>
      </c>
      <c r="L100" s="522">
        <v>0</v>
      </c>
      <c r="M100" s="522">
        <v>0</v>
      </c>
    </row>
    <row r="101" spans="1:16" ht="32.25" customHeight="1" x14ac:dyDescent="0.3">
      <c r="A101" s="402"/>
      <c r="B101" s="449"/>
      <c r="C101" s="532"/>
      <c r="D101" s="546"/>
      <c r="E101" s="521"/>
      <c r="F101" s="521"/>
      <c r="G101" s="521"/>
      <c r="H101" s="519"/>
      <c r="I101" s="520"/>
      <c r="J101" s="519"/>
      <c r="K101" s="520"/>
      <c r="L101" s="519"/>
      <c r="M101" s="522"/>
    </row>
    <row r="102" spans="1:16" x14ac:dyDescent="0.3">
      <c r="A102" s="402"/>
      <c r="B102" s="449"/>
      <c r="C102" s="531" t="s">
        <v>98</v>
      </c>
      <c r="D102" s="545"/>
      <c r="E102" s="520">
        <v>0</v>
      </c>
      <c r="F102" s="520">
        <v>0</v>
      </c>
      <c r="G102" s="520">
        <v>0</v>
      </c>
      <c r="H102" s="522">
        <v>0</v>
      </c>
      <c r="I102" s="523">
        <v>0</v>
      </c>
      <c r="J102" s="522">
        <v>0</v>
      </c>
      <c r="K102" s="523">
        <v>0</v>
      </c>
      <c r="L102" s="522">
        <v>0</v>
      </c>
      <c r="M102" s="522">
        <v>0</v>
      </c>
    </row>
    <row r="103" spans="1:16" ht="27.75" customHeight="1" x14ac:dyDescent="0.3">
      <c r="A103" s="403"/>
      <c r="B103" s="510"/>
      <c r="C103" s="532"/>
      <c r="D103" s="546"/>
      <c r="E103" s="521"/>
      <c r="F103" s="521"/>
      <c r="G103" s="521"/>
      <c r="H103" s="522"/>
      <c r="I103" s="523"/>
      <c r="J103" s="522"/>
      <c r="K103" s="523"/>
      <c r="L103" s="522"/>
      <c r="M103" s="522"/>
    </row>
    <row r="104" spans="1:16" ht="18.75" customHeight="1" x14ac:dyDescent="0.3">
      <c r="A104" s="432" t="s">
        <v>127</v>
      </c>
      <c r="B104" s="509" t="s">
        <v>47</v>
      </c>
      <c r="C104" s="29" t="s">
        <v>27</v>
      </c>
      <c r="D104" s="99" t="s">
        <v>35</v>
      </c>
      <c r="E104" s="62">
        <f t="shared" ref="E104:L104" si="21">SUM(E105:E113)</f>
        <v>54000</v>
      </c>
      <c r="F104" s="62">
        <f t="shared" si="21"/>
        <v>167342.85714285716</v>
      </c>
      <c r="G104" s="62">
        <f t="shared" si="21"/>
        <v>186954.28571428571</v>
      </c>
      <c r="H104" s="63">
        <f t="shared" si="21"/>
        <v>34285.71428571429</v>
      </c>
      <c r="I104" s="62">
        <f t="shared" si="21"/>
        <v>0</v>
      </c>
      <c r="J104" s="62">
        <f t="shared" si="21"/>
        <v>0</v>
      </c>
      <c r="K104" s="62">
        <f t="shared" si="21"/>
        <v>0</v>
      </c>
      <c r="L104" s="62">
        <f t="shared" si="21"/>
        <v>0</v>
      </c>
      <c r="M104" s="63">
        <f>SUM(E104:L104)</f>
        <v>442582.85714285716</v>
      </c>
    </row>
    <row r="105" spans="1:16" ht="30" customHeight="1" x14ac:dyDescent="0.3">
      <c r="A105" s="402"/>
      <c r="B105" s="449"/>
      <c r="C105" s="30" t="s">
        <v>93</v>
      </c>
      <c r="D105" s="99"/>
      <c r="E105" s="68">
        <v>0</v>
      </c>
      <c r="F105" s="77">
        <v>0</v>
      </c>
      <c r="G105" s="77">
        <v>0</v>
      </c>
      <c r="H105" s="71">
        <v>0</v>
      </c>
      <c r="I105" s="77">
        <v>0</v>
      </c>
      <c r="J105" s="71">
        <v>0</v>
      </c>
      <c r="K105" s="77">
        <v>0</v>
      </c>
      <c r="L105" s="71">
        <v>0</v>
      </c>
      <c r="M105" s="65">
        <f>SUM(E105:I105)</f>
        <v>0</v>
      </c>
    </row>
    <row r="106" spans="1:16" ht="18.75" customHeight="1" x14ac:dyDescent="0.3">
      <c r="A106" s="402"/>
      <c r="B106" s="449"/>
      <c r="C106" s="31" t="s">
        <v>94</v>
      </c>
      <c r="D106" s="99" t="s">
        <v>35</v>
      </c>
      <c r="E106" s="64">
        <f>'Приложение 5'!H50</f>
        <v>54000</v>
      </c>
      <c r="F106" s="64">
        <f>'Приложение 5'!I51</f>
        <v>117140</v>
      </c>
      <c r="G106" s="64">
        <f>'Приложение 5'!J51</f>
        <v>130868</v>
      </c>
      <c r="H106" s="65">
        <f>'Приложение 5'!K52</f>
        <v>24000</v>
      </c>
      <c r="I106" s="65">
        <f>'Приложение 5'!L52</f>
        <v>0</v>
      </c>
      <c r="J106" s="65">
        <f>'Приложение 5'!M52</f>
        <v>0</v>
      </c>
      <c r="K106" s="65">
        <f>'Приложение 5'!N52</f>
        <v>0</v>
      </c>
      <c r="L106" s="65">
        <f>'Приложение 5'!O52</f>
        <v>0</v>
      </c>
      <c r="M106" s="74">
        <f>SUM(E106:L106)</f>
        <v>326008</v>
      </c>
      <c r="P106" s="44"/>
    </row>
    <row r="107" spans="1:16" ht="47.1" customHeight="1" x14ac:dyDescent="0.3">
      <c r="A107" s="402"/>
      <c r="B107" s="449"/>
      <c r="C107" s="32" t="s">
        <v>95</v>
      </c>
      <c r="D107" s="99"/>
      <c r="E107" s="64">
        <v>0</v>
      </c>
      <c r="F107" s="64">
        <f t="shared" ref="F107:L107" si="22">F106*30/70</f>
        <v>50202.857142857145</v>
      </c>
      <c r="G107" s="64">
        <f t="shared" si="22"/>
        <v>56086.285714285717</v>
      </c>
      <c r="H107" s="64">
        <f t="shared" si="22"/>
        <v>10285.714285714286</v>
      </c>
      <c r="I107" s="64">
        <f t="shared" si="22"/>
        <v>0</v>
      </c>
      <c r="J107" s="64">
        <f t="shared" si="22"/>
        <v>0</v>
      </c>
      <c r="K107" s="64">
        <f t="shared" si="22"/>
        <v>0</v>
      </c>
      <c r="L107" s="64">
        <f t="shared" si="22"/>
        <v>0</v>
      </c>
      <c r="M107" s="65">
        <f>SUM(E107:I107)</f>
        <v>116574.85714285716</v>
      </c>
    </row>
    <row r="108" spans="1:16" ht="24.75" customHeight="1" x14ac:dyDescent="0.3">
      <c r="A108" s="402"/>
      <c r="B108" s="449"/>
      <c r="C108" s="531" t="s">
        <v>96</v>
      </c>
      <c r="D108" s="545"/>
      <c r="E108" s="520">
        <v>0</v>
      </c>
      <c r="F108" s="520">
        <v>0</v>
      </c>
      <c r="G108" s="520">
        <v>0</v>
      </c>
      <c r="H108" s="519">
        <v>0</v>
      </c>
      <c r="I108" s="520">
        <v>0</v>
      </c>
      <c r="J108" s="519">
        <v>0</v>
      </c>
      <c r="K108" s="520">
        <v>0</v>
      </c>
      <c r="L108" s="519">
        <v>0</v>
      </c>
      <c r="M108" s="522">
        <v>0</v>
      </c>
    </row>
    <row r="109" spans="1:16" ht="38.25" customHeight="1" x14ac:dyDescent="0.3">
      <c r="A109" s="402"/>
      <c r="B109" s="449"/>
      <c r="C109" s="532"/>
      <c r="D109" s="546"/>
      <c r="E109" s="521"/>
      <c r="F109" s="521"/>
      <c r="G109" s="521"/>
      <c r="H109" s="391"/>
      <c r="I109" s="524"/>
      <c r="J109" s="391"/>
      <c r="K109" s="524"/>
      <c r="L109" s="391"/>
      <c r="M109" s="522"/>
    </row>
    <row r="110" spans="1:16" ht="39" customHeight="1" x14ac:dyDescent="0.3">
      <c r="A110" s="402"/>
      <c r="B110" s="449"/>
      <c r="C110" s="531" t="s">
        <v>97</v>
      </c>
      <c r="D110" s="545"/>
      <c r="E110" s="520">
        <v>0</v>
      </c>
      <c r="F110" s="520">
        <v>0</v>
      </c>
      <c r="G110" s="520">
        <v>0</v>
      </c>
      <c r="H110" s="522">
        <v>0</v>
      </c>
      <c r="I110" s="523">
        <v>0</v>
      </c>
      <c r="J110" s="522">
        <v>0</v>
      </c>
      <c r="K110" s="523">
        <v>0</v>
      </c>
      <c r="L110" s="522">
        <v>0</v>
      </c>
      <c r="M110" s="522">
        <v>0</v>
      </c>
    </row>
    <row r="111" spans="1:16" ht="22.5" customHeight="1" x14ac:dyDescent="0.3">
      <c r="A111" s="402"/>
      <c r="B111" s="449"/>
      <c r="C111" s="532"/>
      <c r="D111" s="546"/>
      <c r="E111" s="521"/>
      <c r="F111" s="521"/>
      <c r="G111" s="521"/>
      <c r="H111" s="519"/>
      <c r="I111" s="520"/>
      <c r="J111" s="519"/>
      <c r="K111" s="520"/>
      <c r="L111" s="519"/>
      <c r="M111" s="522"/>
    </row>
    <row r="112" spans="1:16" x14ac:dyDescent="0.3">
      <c r="A112" s="402"/>
      <c r="B112" s="449"/>
      <c r="C112" s="531" t="s">
        <v>98</v>
      </c>
      <c r="D112" s="545"/>
      <c r="E112" s="520">
        <v>0</v>
      </c>
      <c r="F112" s="520">
        <v>0</v>
      </c>
      <c r="G112" s="520">
        <v>0</v>
      </c>
      <c r="H112" s="522">
        <v>0</v>
      </c>
      <c r="I112" s="523">
        <v>0</v>
      </c>
      <c r="J112" s="522">
        <v>0</v>
      </c>
      <c r="K112" s="523">
        <v>0</v>
      </c>
      <c r="L112" s="522">
        <v>0</v>
      </c>
      <c r="M112" s="522">
        <v>0</v>
      </c>
    </row>
    <row r="113" spans="1:13" ht="14.25" customHeight="1" x14ac:dyDescent="0.3">
      <c r="A113" s="402"/>
      <c r="B113" s="449"/>
      <c r="C113" s="536"/>
      <c r="D113" s="546"/>
      <c r="E113" s="521"/>
      <c r="F113" s="521"/>
      <c r="G113" s="521"/>
      <c r="H113" s="519"/>
      <c r="I113" s="520"/>
      <c r="J113" s="519"/>
      <c r="K113" s="520"/>
      <c r="L113" s="519"/>
      <c r="M113" s="522"/>
    </row>
    <row r="114" spans="1:13" ht="18.75" customHeight="1" x14ac:dyDescent="0.3">
      <c r="A114" s="432" t="s">
        <v>128</v>
      </c>
      <c r="B114" s="509" t="s">
        <v>107</v>
      </c>
      <c r="C114" s="29" t="s">
        <v>27</v>
      </c>
      <c r="D114" s="99" t="s">
        <v>35</v>
      </c>
      <c r="E114" s="62">
        <v>0</v>
      </c>
      <c r="F114" s="62">
        <f>F115</f>
        <v>41416.300000000003</v>
      </c>
      <c r="G114" s="62">
        <f>G115</f>
        <v>37274.6</v>
      </c>
      <c r="H114" s="80">
        <v>0</v>
      </c>
      <c r="I114" s="79">
        <v>0</v>
      </c>
      <c r="J114" s="62">
        <v>0</v>
      </c>
      <c r="K114" s="62">
        <f>K115</f>
        <v>0</v>
      </c>
      <c r="L114" s="62">
        <f>L115</f>
        <v>0</v>
      </c>
      <c r="M114" s="63">
        <f>SUM(E114:I114)</f>
        <v>78690.899999999994</v>
      </c>
    </row>
    <row r="115" spans="1:13" ht="30" customHeight="1" x14ac:dyDescent="0.3">
      <c r="A115" s="402"/>
      <c r="B115" s="449"/>
      <c r="C115" s="30" t="s">
        <v>93</v>
      </c>
      <c r="D115" s="99" t="s">
        <v>35</v>
      </c>
      <c r="E115" s="64">
        <v>0</v>
      </c>
      <c r="F115" s="64">
        <v>41416.300000000003</v>
      </c>
      <c r="G115" s="64">
        <v>37274.6</v>
      </c>
      <c r="H115" s="71">
        <v>0</v>
      </c>
      <c r="I115" s="77">
        <v>0</v>
      </c>
      <c r="J115" s="71">
        <v>0</v>
      </c>
      <c r="K115" s="77">
        <v>0</v>
      </c>
      <c r="L115" s="71">
        <v>0</v>
      </c>
      <c r="M115" s="65">
        <f>SUM(E115:I115)</f>
        <v>78690.899999999994</v>
      </c>
    </row>
    <row r="116" spans="1:13" ht="18.75" customHeight="1" x14ac:dyDescent="0.3">
      <c r="A116" s="402"/>
      <c r="B116" s="449"/>
      <c r="C116" s="31" t="s">
        <v>94</v>
      </c>
      <c r="D116" s="99"/>
      <c r="E116" s="64">
        <f>'Приложение 5'!H53</f>
        <v>0</v>
      </c>
      <c r="F116" s="64">
        <f>'Приложение 5'!I53</f>
        <v>0</v>
      </c>
      <c r="G116" s="64">
        <f>'Приложение 5'!J53</f>
        <v>0</v>
      </c>
      <c r="H116" s="64">
        <f>'Приложение 5'!K53</f>
        <v>0</v>
      </c>
      <c r="I116" s="64">
        <f>'Приложение 5'!L53</f>
        <v>0</v>
      </c>
      <c r="J116" s="64">
        <f>'Приложение 5'!M53</f>
        <v>0</v>
      </c>
      <c r="K116" s="64">
        <f>'Приложение 5'!N53</f>
        <v>0</v>
      </c>
      <c r="L116" s="64">
        <f>'Приложение 5'!O53</f>
        <v>0</v>
      </c>
      <c r="M116" s="74">
        <f>SUM(E116:I116)</f>
        <v>0</v>
      </c>
    </row>
    <row r="117" spans="1:13" ht="47.1" customHeight="1" x14ac:dyDescent="0.3">
      <c r="A117" s="402"/>
      <c r="B117" s="449"/>
      <c r="C117" s="32" t="s">
        <v>95</v>
      </c>
      <c r="D117" s="99"/>
      <c r="E117" s="64">
        <v>0</v>
      </c>
      <c r="F117" s="64">
        <v>0</v>
      </c>
      <c r="G117" s="64">
        <v>0</v>
      </c>
      <c r="H117" s="71">
        <v>0</v>
      </c>
      <c r="I117" s="77">
        <v>0</v>
      </c>
      <c r="J117" s="77">
        <v>0</v>
      </c>
      <c r="K117" s="77">
        <v>0</v>
      </c>
      <c r="L117" s="77">
        <v>0</v>
      </c>
      <c r="M117" s="65">
        <f>SUM(E117:I117)</f>
        <v>0</v>
      </c>
    </row>
    <row r="118" spans="1:13" ht="18" customHeight="1" x14ac:dyDescent="0.3">
      <c r="A118" s="402"/>
      <c r="B118" s="449"/>
      <c r="C118" s="531" t="s">
        <v>96</v>
      </c>
      <c r="D118" s="545"/>
      <c r="E118" s="519">
        <v>0</v>
      </c>
      <c r="F118" s="519">
        <v>0</v>
      </c>
      <c r="G118" s="519">
        <v>0</v>
      </c>
      <c r="H118" s="519">
        <v>0</v>
      </c>
      <c r="I118" s="520">
        <v>0</v>
      </c>
      <c r="J118" s="520">
        <v>0</v>
      </c>
      <c r="K118" s="520">
        <v>0</v>
      </c>
      <c r="L118" s="520">
        <v>0</v>
      </c>
      <c r="M118" s="522">
        <v>0</v>
      </c>
    </row>
    <row r="119" spans="1:13" ht="46.5" customHeight="1" x14ac:dyDescent="0.3">
      <c r="A119" s="402"/>
      <c r="B119" s="449"/>
      <c r="C119" s="532"/>
      <c r="D119" s="546"/>
      <c r="E119" s="392"/>
      <c r="F119" s="392"/>
      <c r="G119" s="392"/>
      <c r="H119" s="392"/>
      <c r="I119" s="521"/>
      <c r="J119" s="521"/>
      <c r="K119" s="521"/>
      <c r="L119" s="521"/>
      <c r="M119" s="522"/>
    </row>
    <row r="120" spans="1:13" ht="19.5" customHeight="1" x14ac:dyDescent="0.3">
      <c r="A120" s="402"/>
      <c r="B120" s="449"/>
      <c r="C120" s="531" t="s">
        <v>97</v>
      </c>
      <c r="D120" s="545"/>
      <c r="E120" s="519">
        <v>0</v>
      </c>
      <c r="F120" s="519">
        <v>0</v>
      </c>
      <c r="G120" s="519">
        <v>0</v>
      </c>
      <c r="H120" s="519">
        <v>0</v>
      </c>
      <c r="I120" s="519">
        <v>0</v>
      </c>
      <c r="J120" s="519">
        <v>0</v>
      </c>
      <c r="K120" s="519">
        <v>0</v>
      </c>
      <c r="L120" s="519">
        <v>0</v>
      </c>
      <c r="M120" s="519">
        <v>0</v>
      </c>
    </row>
    <row r="121" spans="1:13" ht="42.75" customHeight="1" x14ac:dyDescent="0.3">
      <c r="A121" s="402"/>
      <c r="B121" s="449"/>
      <c r="C121" s="532"/>
      <c r="D121" s="546"/>
      <c r="E121" s="392"/>
      <c r="F121" s="392"/>
      <c r="G121" s="392"/>
      <c r="H121" s="392"/>
      <c r="I121" s="392"/>
      <c r="J121" s="392"/>
      <c r="K121" s="392"/>
      <c r="L121" s="392"/>
      <c r="M121" s="392"/>
    </row>
    <row r="122" spans="1:13" ht="18.75" customHeight="1" x14ac:dyDescent="0.3">
      <c r="A122" s="402"/>
      <c r="B122" s="449"/>
      <c r="C122" s="531" t="s">
        <v>98</v>
      </c>
      <c r="D122" s="545"/>
      <c r="E122" s="520">
        <v>0</v>
      </c>
      <c r="F122" s="520">
        <v>0</v>
      </c>
      <c r="G122" s="520">
        <v>0</v>
      </c>
      <c r="H122" s="519">
        <v>0</v>
      </c>
      <c r="I122" s="520">
        <v>0</v>
      </c>
      <c r="J122" s="520">
        <v>0</v>
      </c>
      <c r="K122" s="520">
        <v>0</v>
      </c>
      <c r="L122" s="520">
        <v>0</v>
      </c>
      <c r="M122" s="522">
        <v>0</v>
      </c>
    </row>
    <row r="123" spans="1:13" ht="18" customHeight="1" x14ac:dyDescent="0.3">
      <c r="A123" s="402"/>
      <c r="B123" s="449"/>
      <c r="C123" s="536"/>
      <c r="D123" s="546"/>
      <c r="E123" s="521"/>
      <c r="F123" s="521"/>
      <c r="G123" s="521"/>
      <c r="H123" s="392"/>
      <c r="I123" s="521"/>
      <c r="J123" s="521"/>
      <c r="K123" s="521"/>
      <c r="L123" s="521"/>
      <c r="M123" s="522"/>
    </row>
    <row r="124" spans="1:13" ht="18.75" customHeight="1" x14ac:dyDescent="0.3">
      <c r="A124" s="433" t="s">
        <v>129</v>
      </c>
      <c r="B124" s="547" t="str">
        <f>'Приложение 5'!B55</f>
        <v>Предоставление субсидий из краевого бюджета бюджетам муниципальных образований Приморского края на  содержание многофункциональных центров предоставления государственных и муниципальных услуг</v>
      </c>
      <c r="C124" s="29" t="s">
        <v>27</v>
      </c>
      <c r="D124" s="99" t="s">
        <v>35</v>
      </c>
      <c r="E124" s="62">
        <v>0</v>
      </c>
      <c r="F124" s="62">
        <v>0</v>
      </c>
      <c r="G124" s="62">
        <f>SUM(G125:G130)</f>
        <v>188000</v>
      </c>
      <c r="H124" s="81">
        <f>H126+H127</f>
        <v>500000</v>
      </c>
      <c r="I124" s="82">
        <f>I126+I127</f>
        <v>200000</v>
      </c>
      <c r="J124" s="62">
        <f>SUM(J125:J130)</f>
        <v>200000</v>
      </c>
      <c r="K124" s="81">
        <f>K126+K127</f>
        <v>200000</v>
      </c>
      <c r="L124" s="82">
        <f>L126+L127</f>
        <v>200000</v>
      </c>
      <c r="M124" s="63">
        <f>SUM(E124:L124)</f>
        <v>1488000</v>
      </c>
    </row>
    <row r="125" spans="1:13" ht="30" customHeight="1" x14ac:dyDescent="0.3">
      <c r="A125" s="433"/>
      <c r="B125" s="547"/>
      <c r="C125" s="30" t="s">
        <v>93</v>
      </c>
      <c r="D125" s="99"/>
      <c r="E125" s="64">
        <v>0</v>
      </c>
      <c r="F125" s="64">
        <v>0</v>
      </c>
      <c r="G125" s="64">
        <v>0</v>
      </c>
      <c r="H125" s="83">
        <v>0</v>
      </c>
      <c r="I125" s="84">
        <v>0</v>
      </c>
      <c r="J125" s="83">
        <v>0</v>
      </c>
      <c r="K125" s="84">
        <v>0</v>
      </c>
      <c r="L125" s="83">
        <v>0</v>
      </c>
      <c r="M125" s="65">
        <f>SUM(E125:I125)</f>
        <v>0</v>
      </c>
    </row>
    <row r="126" spans="1:13" ht="18.75" customHeight="1" x14ac:dyDescent="0.3">
      <c r="A126" s="433"/>
      <c r="B126" s="547"/>
      <c r="C126" s="31" t="s">
        <v>94</v>
      </c>
      <c r="D126" s="99" t="s">
        <v>35</v>
      </c>
      <c r="E126" s="64">
        <f>'Приложение 5'!H55</f>
        <v>0</v>
      </c>
      <c r="F126" s="64">
        <f>'Приложение 5'!I55</f>
        <v>0</v>
      </c>
      <c r="G126" s="71">
        <f>'Приложение 5'!J55</f>
        <v>94000</v>
      </c>
      <c r="H126" s="65">
        <f>'Приложение 5'!K56</f>
        <v>250000</v>
      </c>
      <c r="I126" s="64">
        <f>'Приложение 5'!L56</f>
        <v>100000</v>
      </c>
      <c r="J126" s="64">
        <f>'Приложение 5'!M56</f>
        <v>100000</v>
      </c>
      <c r="K126" s="65">
        <f>'Приложение 5'!N56</f>
        <v>100000</v>
      </c>
      <c r="L126" s="64">
        <f>'Приложение 5'!O56</f>
        <v>100000</v>
      </c>
      <c r="M126" s="74">
        <f>SUM(E126:L126)</f>
        <v>744000</v>
      </c>
    </row>
    <row r="127" spans="1:13" ht="47.1" customHeight="1" x14ac:dyDescent="0.3">
      <c r="A127" s="433"/>
      <c r="B127" s="547"/>
      <c r="C127" s="32" t="s">
        <v>95</v>
      </c>
      <c r="D127" s="99"/>
      <c r="E127" s="64">
        <v>0</v>
      </c>
      <c r="F127" s="64">
        <v>0</v>
      </c>
      <c r="G127" s="64">
        <f>G126</f>
        <v>94000</v>
      </c>
      <c r="H127" s="64">
        <f>H126</f>
        <v>250000</v>
      </c>
      <c r="I127" s="64">
        <f>I126</f>
        <v>100000</v>
      </c>
      <c r="J127" s="64">
        <f t="shared" ref="J127:L127" si="23">J126</f>
        <v>100000</v>
      </c>
      <c r="K127" s="64">
        <f t="shared" si="23"/>
        <v>100000</v>
      </c>
      <c r="L127" s="64">
        <f t="shared" si="23"/>
        <v>100000</v>
      </c>
      <c r="M127" s="65">
        <f>SUM(E127:L127)</f>
        <v>744000</v>
      </c>
    </row>
    <row r="128" spans="1:13" ht="63" customHeight="1" x14ac:dyDescent="0.3">
      <c r="A128" s="433"/>
      <c r="B128" s="547"/>
      <c r="C128" s="30" t="s">
        <v>96</v>
      </c>
      <c r="D128" s="99"/>
      <c r="E128" s="64">
        <v>0</v>
      </c>
      <c r="F128" s="64">
        <v>0</v>
      </c>
      <c r="G128" s="64">
        <v>0</v>
      </c>
      <c r="H128" s="83">
        <v>0</v>
      </c>
      <c r="I128" s="84">
        <v>0</v>
      </c>
      <c r="J128" s="84">
        <v>0</v>
      </c>
      <c r="K128" s="84">
        <v>0</v>
      </c>
      <c r="L128" s="84">
        <v>0</v>
      </c>
      <c r="M128" s="65">
        <v>0</v>
      </c>
    </row>
    <row r="129" spans="1:13" ht="63.95" customHeight="1" x14ac:dyDescent="0.3">
      <c r="A129" s="433"/>
      <c r="B129" s="547"/>
      <c r="C129" s="30" t="s">
        <v>97</v>
      </c>
      <c r="D129" s="99"/>
      <c r="E129" s="64">
        <v>0</v>
      </c>
      <c r="F129" s="64">
        <v>0</v>
      </c>
      <c r="G129" s="64">
        <v>0</v>
      </c>
      <c r="H129" s="83">
        <v>0</v>
      </c>
      <c r="I129" s="84">
        <v>0</v>
      </c>
      <c r="J129" s="84">
        <v>0</v>
      </c>
      <c r="K129" s="84">
        <v>0</v>
      </c>
      <c r="L129" s="84">
        <v>0</v>
      </c>
      <c r="M129" s="65">
        <v>0</v>
      </c>
    </row>
    <row r="130" spans="1:13" ht="30" x14ac:dyDescent="0.3">
      <c r="A130" s="433"/>
      <c r="B130" s="547"/>
      <c r="C130" s="101" t="s">
        <v>98</v>
      </c>
      <c r="D130" s="99"/>
      <c r="E130" s="64">
        <v>0</v>
      </c>
      <c r="F130" s="64">
        <v>0</v>
      </c>
      <c r="G130" s="64">
        <v>0</v>
      </c>
      <c r="H130" s="83">
        <v>0</v>
      </c>
      <c r="I130" s="84">
        <v>0</v>
      </c>
      <c r="J130" s="84">
        <v>0</v>
      </c>
      <c r="K130" s="84">
        <v>0</v>
      </c>
      <c r="L130" s="84">
        <v>0</v>
      </c>
      <c r="M130" s="65">
        <v>0</v>
      </c>
    </row>
    <row r="131" spans="1:13" ht="18.75" customHeight="1" x14ac:dyDescent="0.3">
      <c r="A131" s="433" t="s">
        <v>130</v>
      </c>
      <c r="B131" s="547" t="s">
        <v>309</v>
      </c>
      <c r="C131" s="29" t="s">
        <v>27</v>
      </c>
      <c r="D131" s="99" t="s">
        <v>35</v>
      </c>
      <c r="E131" s="62">
        <v>0</v>
      </c>
      <c r="F131" s="62">
        <v>0</v>
      </c>
      <c r="G131" s="62">
        <f>SUM(G132:G137)</f>
        <v>54600</v>
      </c>
      <c r="H131" s="62">
        <v>0</v>
      </c>
      <c r="I131" s="62">
        <v>0</v>
      </c>
      <c r="J131" s="62">
        <v>0</v>
      </c>
      <c r="K131" s="62">
        <v>0</v>
      </c>
      <c r="L131" s="62">
        <v>0</v>
      </c>
      <c r="M131" s="63">
        <f>SUM(E131:I131)</f>
        <v>54600</v>
      </c>
    </row>
    <row r="132" spans="1:13" ht="30" customHeight="1" x14ac:dyDescent="0.3">
      <c r="A132" s="433"/>
      <c r="B132" s="547"/>
      <c r="C132" s="30" t="s">
        <v>93</v>
      </c>
      <c r="D132" s="99"/>
      <c r="E132" s="64">
        <v>0</v>
      </c>
      <c r="F132" s="64">
        <v>0</v>
      </c>
      <c r="G132" s="64">
        <v>0</v>
      </c>
      <c r="H132" s="64">
        <v>0</v>
      </c>
      <c r="I132" s="64">
        <v>0</v>
      </c>
      <c r="J132" s="64">
        <v>0</v>
      </c>
      <c r="K132" s="64">
        <v>0</v>
      </c>
      <c r="L132" s="64">
        <v>0</v>
      </c>
      <c r="M132" s="65">
        <f>SUM(E132:I132)</f>
        <v>0</v>
      </c>
    </row>
    <row r="133" spans="1:13" ht="18.75" customHeight="1" x14ac:dyDescent="0.3">
      <c r="A133" s="433"/>
      <c r="B133" s="547"/>
      <c r="C133" s="31" t="s">
        <v>94</v>
      </c>
      <c r="D133" s="99" t="s">
        <v>35</v>
      </c>
      <c r="E133" s="64">
        <f>'Приложение 5'!H57</f>
        <v>0</v>
      </c>
      <c r="F133" s="64">
        <f>'Приложение 5'!I57</f>
        <v>0</v>
      </c>
      <c r="G133" s="64">
        <f>'Приложение 5'!J57</f>
        <v>54600</v>
      </c>
      <c r="H133" s="64">
        <f>'Приложение 5'!K57</f>
        <v>0</v>
      </c>
      <c r="I133" s="64">
        <f>'Приложение 5'!L57</f>
        <v>0</v>
      </c>
      <c r="J133" s="64">
        <f>'Приложение 5'!M57</f>
        <v>0</v>
      </c>
      <c r="K133" s="64">
        <f>'Приложение 5'!N57</f>
        <v>0</v>
      </c>
      <c r="L133" s="64">
        <f>'Приложение 5'!O57</f>
        <v>0</v>
      </c>
      <c r="M133" s="74">
        <f>SUM(E133:I133)</f>
        <v>54600</v>
      </c>
    </row>
    <row r="134" spans="1:13" ht="47.1" customHeight="1" x14ac:dyDescent="0.3">
      <c r="A134" s="433"/>
      <c r="B134" s="547"/>
      <c r="C134" s="32" t="s">
        <v>95</v>
      </c>
      <c r="D134" s="99"/>
      <c r="E134" s="64">
        <v>0</v>
      </c>
      <c r="F134" s="64">
        <v>0</v>
      </c>
      <c r="G134" s="64">
        <v>0</v>
      </c>
      <c r="H134" s="64">
        <v>0</v>
      </c>
      <c r="I134" s="64">
        <v>0</v>
      </c>
      <c r="J134" s="64">
        <v>0</v>
      </c>
      <c r="K134" s="64">
        <v>0</v>
      </c>
      <c r="L134" s="64">
        <v>0</v>
      </c>
      <c r="M134" s="65">
        <f>SUM(E134:I134)</f>
        <v>0</v>
      </c>
    </row>
    <row r="135" spans="1:13" ht="63" customHeight="1" x14ac:dyDescent="0.3">
      <c r="A135" s="433"/>
      <c r="B135" s="547"/>
      <c r="C135" s="30" t="s">
        <v>96</v>
      </c>
      <c r="D135" s="99"/>
      <c r="E135" s="64">
        <v>0</v>
      </c>
      <c r="F135" s="64">
        <v>0</v>
      </c>
      <c r="G135" s="64">
        <v>0</v>
      </c>
      <c r="H135" s="64">
        <v>0</v>
      </c>
      <c r="I135" s="64">
        <v>0</v>
      </c>
      <c r="J135" s="64">
        <v>0</v>
      </c>
      <c r="K135" s="64">
        <v>0</v>
      </c>
      <c r="L135" s="64">
        <v>0</v>
      </c>
      <c r="M135" s="65">
        <v>0</v>
      </c>
    </row>
    <row r="136" spans="1:13" ht="63.95" customHeight="1" x14ac:dyDescent="0.3">
      <c r="A136" s="433"/>
      <c r="B136" s="547"/>
      <c r="C136" s="30" t="s">
        <v>97</v>
      </c>
      <c r="D136" s="99"/>
      <c r="E136" s="64">
        <v>0</v>
      </c>
      <c r="F136" s="64">
        <v>0</v>
      </c>
      <c r="G136" s="64">
        <v>0</v>
      </c>
      <c r="H136" s="64">
        <v>0</v>
      </c>
      <c r="I136" s="64">
        <v>0</v>
      </c>
      <c r="J136" s="64">
        <v>0</v>
      </c>
      <c r="K136" s="64">
        <v>0</v>
      </c>
      <c r="L136" s="64">
        <v>0</v>
      </c>
      <c r="M136" s="65">
        <v>0</v>
      </c>
    </row>
    <row r="137" spans="1:13" ht="30" customHeight="1" x14ac:dyDescent="0.3">
      <c r="A137" s="433"/>
      <c r="B137" s="547"/>
      <c r="C137" s="30" t="s">
        <v>98</v>
      </c>
      <c r="D137" s="99"/>
      <c r="E137" s="64">
        <v>0</v>
      </c>
      <c r="F137" s="64">
        <v>0</v>
      </c>
      <c r="G137" s="64">
        <v>0</v>
      </c>
      <c r="H137" s="64">
        <v>0</v>
      </c>
      <c r="I137" s="64">
        <v>0</v>
      </c>
      <c r="J137" s="64">
        <v>0</v>
      </c>
      <c r="K137" s="64">
        <v>0</v>
      </c>
      <c r="L137" s="64">
        <v>0</v>
      </c>
      <c r="M137" s="65">
        <v>0</v>
      </c>
    </row>
    <row r="138" spans="1:13" ht="18.75" customHeight="1" x14ac:dyDescent="0.3">
      <c r="A138" s="432" t="s">
        <v>351</v>
      </c>
      <c r="B138" s="509" t="s">
        <v>363</v>
      </c>
      <c r="C138" s="29" t="s">
        <v>27</v>
      </c>
      <c r="D138" s="99"/>
      <c r="E138" s="62">
        <f>SUM(E139:E144)</f>
        <v>0</v>
      </c>
      <c r="F138" s="62">
        <f t="shared" ref="F138:L138" si="24">SUM(F139:F144)</f>
        <v>0</v>
      </c>
      <c r="G138" s="62">
        <f t="shared" si="24"/>
        <v>0</v>
      </c>
      <c r="H138" s="62">
        <f t="shared" si="24"/>
        <v>0</v>
      </c>
      <c r="I138" s="62">
        <f t="shared" si="24"/>
        <v>0</v>
      </c>
      <c r="J138" s="62">
        <f t="shared" si="24"/>
        <v>0</v>
      </c>
      <c r="K138" s="62">
        <f t="shared" si="24"/>
        <v>0</v>
      </c>
      <c r="L138" s="62">
        <f t="shared" si="24"/>
        <v>0</v>
      </c>
      <c r="M138" s="63">
        <f>SUM(E138:L138)</f>
        <v>0</v>
      </c>
    </row>
    <row r="139" spans="1:13" ht="30" customHeight="1" x14ac:dyDescent="0.3">
      <c r="A139" s="402"/>
      <c r="B139" s="449"/>
      <c r="C139" s="30" t="s">
        <v>93</v>
      </c>
      <c r="D139" s="99"/>
      <c r="E139" s="64">
        <v>0</v>
      </c>
      <c r="F139" s="64">
        <v>0</v>
      </c>
      <c r="G139" s="64">
        <v>0</v>
      </c>
      <c r="H139" s="64">
        <v>0</v>
      </c>
      <c r="I139" s="64">
        <v>0</v>
      </c>
      <c r="J139" s="64">
        <v>0</v>
      </c>
      <c r="K139" s="64">
        <v>0</v>
      </c>
      <c r="L139" s="64">
        <v>0</v>
      </c>
      <c r="M139" s="65">
        <f>SUM(E139:L139)</f>
        <v>0</v>
      </c>
    </row>
    <row r="140" spans="1:13" ht="18.75" customHeight="1" x14ac:dyDescent="0.3">
      <c r="A140" s="402"/>
      <c r="B140" s="449"/>
      <c r="C140" s="31" t="s">
        <v>94</v>
      </c>
      <c r="D140" s="99" t="s">
        <v>35</v>
      </c>
      <c r="E140" s="64">
        <v>0</v>
      </c>
      <c r="F140" s="64">
        <v>0</v>
      </c>
      <c r="G140" s="64">
        <v>0</v>
      </c>
      <c r="H140" s="64">
        <v>0</v>
      </c>
      <c r="I140" s="64">
        <v>0</v>
      </c>
      <c r="J140" s="64">
        <v>0</v>
      </c>
      <c r="K140" s="64">
        <v>0</v>
      </c>
      <c r="L140" s="64">
        <v>0</v>
      </c>
      <c r="M140" s="65">
        <f t="shared" ref="M140:M144" si="25">SUM(E140:L140)</f>
        <v>0</v>
      </c>
    </row>
    <row r="141" spans="1:13" ht="47.1" customHeight="1" x14ac:dyDescent="0.3">
      <c r="A141" s="402"/>
      <c r="B141" s="449"/>
      <c r="C141" s="32" t="s">
        <v>95</v>
      </c>
      <c r="D141" s="99"/>
      <c r="E141" s="64">
        <v>0</v>
      </c>
      <c r="F141" s="64">
        <v>0</v>
      </c>
      <c r="G141" s="64">
        <v>0</v>
      </c>
      <c r="H141" s="64">
        <v>0</v>
      </c>
      <c r="I141" s="64">
        <v>0</v>
      </c>
      <c r="J141" s="64">
        <v>0</v>
      </c>
      <c r="K141" s="64">
        <v>0</v>
      </c>
      <c r="L141" s="64">
        <v>0</v>
      </c>
      <c r="M141" s="65">
        <f t="shared" si="25"/>
        <v>0</v>
      </c>
    </row>
    <row r="142" spans="1:13" ht="63" customHeight="1" x14ac:dyDescent="0.3">
      <c r="A142" s="402"/>
      <c r="B142" s="449"/>
      <c r="C142" s="30" t="s">
        <v>96</v>
      </c>
      <c r="D142" s="99"/>
      <c r="E142" s="64">
        <v>0</v>
      </c>
      <c r="F142" s="64">
        <v>0</v>
      </c>
      <c r="G142" s="64">
        <v>0</v>
      </c>
      <c r="H142" s="64">
        <v>0</v>
      </c>
      <c r="I142" s="64">
        <v>0</v>
      </c>
      <c r="J142" s="64">
        <v>0</v>
      </c>
      <c r="K142" s="64">
        <v>0</v>
      </c>
      <c r="L142" s="64">
        <v>0</v>
      </c>
      <c r="M142" s="65">
        <f t="shared" si="25"/>
        <v>0</v>
      </c>
    </row>
    <row r="143" spans="1:13" ht="63.95" customHeight="1" x14ac:dyDescent="0.3">
      <c r="A143" s="402"/>
      <c r="B143" s="449"/>
      <c r="C143" s="30" t="s">
        <v>97</v>
      </c>
      <c r="D143" s="99"/>
      <c r="E143" s="64">
        <v>0</v>
      </c>
      <c r="F143" s="64">
        <v>0</v>
      </c>
      <c r="G143" s="64">
        <v>0</v>
      </c>
      <c r="H143" s="64">
        <v>0</v>
      </c>
      <c r="I143" s="64">
        <v>0</v>
      </c>
      <c r="J143" s="64">
        <v>0</v>
      </c>
      <c r="K143" s="64">
        <v>0</v>
      </c>
      <c r="L143" s="64">
        <v>0</v>
      </c>
      <c r="M143" s="65">
        <f t="shared" si="25"/>
        <v>0</v>
      </c>
    </row>
    <row r="144" spans="1:13" ht="30" customHeight="1" x14ac:dyDescent="0.3">
      <c r="A144" s="403"/>
      <c r="B144" s="510"/>
      <c r="C144" s="30" t="s">
        <v>98</v>
      </c>
      <c r="D144" s="99"/>
      <c r="E144" s="64">
        <v>0</v>
      </c>
      <c r="F144" s="64">
        <v>0</v>
      </c>
      <c r="G144" s="64">
        <v>0</v>
      </c>
      <c r="H144" s="64">
        <v>0</v>
      </c>
      <c r="I144" s="64">
        <v>0</v>
      </c>
      <c r="J144" s="64">
        <v>0</v>
      </c>
      <c r="K144" s="64">
        <v>0</v>
      </c>
      <c r="L144" s="64">
        <v>0</v>
      </c>
      <c r="M144" s="65">
        <f t="shared" si="25"/>
        <v>0</v>
      </c>
    </row>
    <row r="145" spans="1:13" ht="18.75" customHeight="1" x14ac:dyDescent="0.3">
      <c r="A145" s="432" t="s">
        <v>131</v>
      </c>
      <c r="B145" s="509" t="s">
        <v>367</v>
      </c>
      <c r="C145" s="29" t="s">
        <v>27</v>
      </c>
      <c r="D145" s="99" t="s">
        <v>35</v>
      </c>
      <c r="E145" s="62">
        <f t="shared" ref="E145:L145" si="26">SUM(E146:E151)</f>
        <v>9793.76</v>
      </c>
      <c r="F145" s="62">
        <f t="shared" si="26"/>
        <v>14000</v>
      </c>
      <c r="G145" s="62">
        <f t="shared" si="26"/>
        <v>9449.0715199999995</v>
      </c>
      <c r="H145" s="63">
        <f t="shared" si="26"/>
        <v>2834.721</v>
      </c>
      <c r="I145" s="62">
        <f t="shared" si="26"/>
        <v>0</v>
      </c>
      <c r="J145" s="62">
        <f t="shared" si="26"/>
        <v>0</v>
      </c>
      <c r="K145" s="62">
        <f t="shared" si="26"/>
        <v>0</v>
      </c>
      <c r="L145" s="62">
        <f t="shared" si="26"/>
        <v>0</v>
      </c>
      <c r="M145" s="63">
        <f>SUM(E145:I145)</f>
        <v>36077.552519999997</v>
      </c>
    </row>
    <row r="146" spans="1:13" ht="30" customHeight="1" x14ac:dyDescent="0.3">
      <c r="A146" s="402"/>
      <c r="B146" s="449"/>
      <c r="C146" s="30" t="s">
        <v>93</v>
      </c>
      <c r="D146" s="99"/>
      <c r="E146" s="68">
        <v>0</v>
      </c>
      <c r="F146" s="77">
        <v>0</v>
      </c>
      <c r="G146" s="77">
        <v>0</v>
      </c>
      <c r="H146" s="71">
        <v>0</v>
      </c>
      <c r="I146" s="77">
        <v>0</v>
      </c>
      <c r="J146" s="71">
        <v>0</v>
      </c>
      <c r="K146" s="77">
        <v>0</v>
      </c>
      <c r="L146" s="71">
        <v>0</v>
      </c>
      <c r="M146" s="65">
        <f>SUM(E146:I146)</f>
        <v>0</v>
      </c>
    </row>
    <row r="147" spans="1:13" ht="18.75" customHeight="1" x14ac:dyDescent="0.3">
      <c r="A147" s="402"/>
      <c r="B147" s="449"/>
      <c r="C147" s="31" t="s">
        <v>94</v>
      </c>
      <c r="D147" s="99" t="s">
        <v>35</v>
      </c>
      <c r="E147" s="64">
        <f>'Приложение 5'!H60</f>
        <v>9793.76</v>
      </c>
      <c r="F147" s="64">
        <f>'Приложение 5'!I61</f>
        <v>14000</v>
      </c>
      <c r="G147" s="64">
        <f>'Приложение 5'!J61</f>
        <v>9449.0715199999995</v>
      </c>
      <c r="H147" s="65">
        <f>'Приложение 5'!K62</f>
        <v>2834.721</v>
      </c>
      <c r="I147" s="64">
        <f>'Приложение 5'!L62</f>
        <v>0</v>
      </c>
      <c r="J147" s="64">
        <f>'Приложение 5'!M62</f>
        <v>0</v>
      </c>
      <c r="K147" s="64">
        <f>'Приложение 5'!N62</f>
        <v>0</v>
      </c>
      <c r="L147" s="64">
        <f>'Приложение 5'!O62</f>
        <v>0</v>
      </c>
      <c r="M147" s="74">
        <f>SUM(E147:I147)</f>
        <v>36077.552519999997</v>
      </c>
    </row>
    <row r="148" spans="1:13" ht="47.1" customHeight="1" x14ac:dyDescent="0.3">
      <c r="A148" s="402"/>
      <c r="B148" s="449"/>
      <c r="C148" s="32" t="s">
        <v>95</v>
      </c>
      <c r="D148" s="99"/>
      <c r="E148" s="64">
        <v>0</v>
      </c>
      <c r="F148" s="64">
        <v>0</v>
      </c>
      <c r="G148" s="65">
        <v>0</v>
      </c>
      <c r="H148" s="65">
        <v>0</v>
      </c>
      <c r="I148" s="64">
        <v>0</v>
      </c>
      <c r="J148" s="64">
        <v>0</v>
      </c>
      <c r="K148" s="64">
        <v>0</v>
      </c>
      <c r="L148" s="64">
        <v>0</v>
      </c>
      <c r="M148" s="65">
        <f>SUM(E148:I148)</f>
        <v>0</v>
      </c>
    </row>
    <row r="149" spans="1:13" ht="63" customHeight="1" x14ac:dyDescent="0.3">
      <c r="A149" s="402"/>
      <c r="B149" s="449"/>
      <c r="C149" s="30" t="s">
        <v>96</v>
      </c>
      <c r="D149" s="99"/>
      <c r="E149" s="77">
        <v>0</v>
      </c>
      <c r="F149" s="77">
        <v>0</v>
      </c>
      <c r="G149" s="77">
        <v>0</v>
      </c>
      <c r="H149" s="71">
        <v>0</v>
      </c>
      <c r="I149" s="77">
        <v>0</v>
      </c>
      <c r="J149" s="77">
        <v>0</v>
      </c>
      <c r="K149" s="77">
        <v>0</v>
      </c>
      <c r="L149" s="77">
        <v>0</v>
      </c>
      <c r="M149" s="65">
        <v>0</v>
      </c>
    </row>
    <row r="150" spans="1:13" ht="63.95" customHeight="1" x14ac:dyDescent="0.3">
      <c r="A150" s="402"/>
      <c r="B150" s="449"/>
      <c r="C150" s="30" t="s">
        <v>97</v>
      </c>
      <c r="D150" s="99"/>
      <c r="E150" s="77">
        <v>0</v>
      </c>
      <c r="F150" s="77">
        <v>0</v>
      </c>
      <c r="G150" s="77">
        <v>0</v>
      </c>
      <c r="H150" s="65">
        <v>0</v>
      </c>
      <c r="I150" s="64">
        <v>0</v>
      </c>
      <c r="J150" s="64">
        <v>0</v>
      </c>
      <c r="K150" s="64">
        <v>0</v>
      </c>
      <c r="L150" s="64">
        <v>0</v>
      </c>
      <c r="M150" s="65">
        <v>0</v>
      </c>
    </row>
    <row r="151" spans="1:13" ht="30" x14ac:dyDescent="0.3">
      <c r="A151" s="403"/>
      <c r="B151" s="510"/>
      <c r="C151" s="101" t="s">
        <v>98</v>
      </c>
      <c r="D151" s="99"/>
      <c r="E151" s="64">
        <v>0</v>
      </c>
      <c r="F151" s="64">
        <v>0</v>
      </c>
      <c r="G151" s="64">
        <v>0</v>
      </c>
      <c r="H151" s="65">
        <v>0</v>
      </c>
      <c r="I151" s="65">
        <v>0</v>
      </c>
      <c r="J151" s="64">
        <v>0</v>
      </c>
      <c r="K151" s="64">
        <v>0</v>
      </c>
      <c r="L151" s="64">
        <v>0</v>
      </c>
      <c r="M151" s="65">
        <v>0</v>
      </c>
    </row>
    <row r="152" spans="1:13" ht="18.75" customHeight="1" x14ac:dyDescent="0.3">
      <c r="A152" s="432" t="s">
        <v>348</v>
      </c>
      <c r="B152" s="509" t="s">
        <v>386</v>
      </c>
      <c r="C152" s="29" t="s">
        <v>27</v>
      </c>
      <c r="D152" s="99" t="s">
        <v>35</v>
      </c>
      <c r="E152" s="62">
        <f t="shared" ref="E152:L152" si="27">SUM(E153:E158)</f>
        <v>9793.76</v>
      </c>
      <c r="F152" s="62">
        <f t="shared" si="27"/>
        <v>14000</v>
      </c>
      <c r="G152" s="62">
        <f t="shared" si="27"/>
        <v>9449.0715199999995</v>
      </c>
      <c r="H152" s="63">
        <f t="shared" si="27"/>
        <v>2834.721</v>
      </c>
      <c r="I152" s="62">
        <f t="shared" si="27"/>
        <v>0</v>
      </c>
      <c r="J152" s="62">
        <f t="shared" si="27"/>
        <v>0</v>
      </c>
      <c r="K152" s="62">
        <f t="shared" si="27"/>
        <v>0</v>
      </c>
      <c r="L152" s="62">
        <f t="shared" si="27"/>
        <v>0</v>
      </c>
      <c r="M152" s="63">
        <f>SUM(E152:I152)</f>
        <v>36077.552519999997</v>
      </c>
    </row>
    <row r="153" spans="1:13" ht="30" customHeight="1" x14ac:dyDescent="0.3">
      <c r="A153" s="402"/>
      <c r="B153" s="449"/>
      <c r="C153" s="30" t="s">
        <v>93</v>
      </c>
      <c r="D153" s="99"/>
      <c r="E153" s="68">
        <v>0</v>
      </c>
      <c r="F153" s="77">
        <v>0</v>
      </c>
      <c r="G153" s="77">
        <v>0</v>
      </c>
      <c r="H153" s="71">
        <v>0</v>
      </c>
      <c r="I153" s="77">
        <v>0</v>
      </c>
      <c r="J153" s="71">
        <v>0</v>
      </c>
      <c r="K153" s="77">
        <v>0</v>
      </c>
      <c r="L153" s="71">
        <v>0</v>
      </c>
      <c r="M153" s="65">
        <f>SUM(E153:I153)</f>
        <v>0</v>
      </c>
    </row>
    <row r="154" spans="1:13" ht="18.75" customHeight="1" x14ac:dyDescent="0.3">
      <c r="A154" s="402"/>
      <c r="B154" s="449"/>
      <c r="C154" s="31" t="s">
        <v>94</v>
      </c>
      <c r="D154" s="99" t="s">
        <v>35</v>
      </c>
      <c r="E154" s="64">
        <f>'Приложение 5'!H63</f>
        <v>9793.76</v>
      </c>
      <c r="F154" s="64">
        <f>'Приложение 5'!I64</f>
        <v>14000</v>
      </c>
      <c r="G154" s="64">
        <f>'Приложение 5'!J64</f>
        <v>9449.0715199999995</v>
      </c>
      <c r="H154" s="64">
        <f>'Приложение 5'!K65</f>
        <v>2834.721</v>
      </c>
      <c r="I154" s="64">
        <f>'Приложение 5'!L69</f>
        <v>0</v>
      </c>
      <c r="J154" s="64">
        <f>'Приложение 5'!M69</f>
        <v>0</v>
      </c>
      <c r="K154" s="64">
        <f>'Приложение 5'!N69</f>
        <v>0</v>
      </c>
      <c r="L154" s="64">
        <f>'Приложение 5'!O69</f>
        <v>0</v>
      </c>
      <c r="M154" s="74">
        <f>SUM(E154:I154)</f>
        <v>36077.552519999997</v>
      </c>
    </row>
    <row r="155" spans="1:13" ht="47.1" customHeight="1" x14ac:dyDescent="0.3">
      <c r="A155" s="402"/>
      <c r="B155" s="449"/>
      <c r="C155" s="32" t="s">
        <v>95</v>
      </c>
      <c r="D155" s="99"/>
      <c r="E155" s="64">
        <v>0</v>
      </c>
      <c r="F155" s="64">
        <v>0</v>
      </c>
      <c r="G155" s="65">
        <v>0</v>
      </c>
      <c r="H155" s="65">
        <v>0</v>
      </c>
      <c r="I155" s="64">
        <v>0</v>
      </c>
      <c r="J155" s="64">
        <v>0</v>
      </c>
      <c r="K155" s="64">
        <v>0</v>
      </c>
      <c r="L155" s="64">
        <v>0</v>
      </c>
      <c r="M155" s="65">
        <f>SUM(E155:I155)</f>
        <v>0</v>
      </c>
    </row>
    <row r="156" spans="1:13" ht="63" customHeight="1" x14ac:dyDescent="0.3">
      <c r="A156" s="402"/>
      <c r="B156" s="449"/>
      <c r="C156" s="30" t="s">
        <v>96</v>
      </c>
      <c r="D156" s="99"/>
      <c r="E156" s="77">
        <v>0</v>
      </c>
      <c r="F156" s="77">
        <v>0</v>
      </c>
      <c r="G156" s="77">
        <v>0</v>
      </c>
      <c r="H156" s="71">
        <v>0</v>
      </c>
      <c r="I156" s="77">
        <v>0</v>
      </c>
      <c r="J156" s="77">
        <v>0</v>
      </c>
      <c r="K156" s="77">
        <v>0</v>
      </c>
      <c r="L156" s="77">
        <v>0</v>
      </c>
      <c r="M156" s="65">
        <v>0</v>
      </c>
    </row>
    <row r="157" spans="1:13" ht="63.95" customHeight="1" x14ac:dyDescent="0.3">
      <c r="A157" s="402"/>
      <c r="B157" s="449"/>
      <c r="C157" s="30" t="s">
        <v>97</v>
      </c>
      <c r="D157" s="99"/>
      <c r="E157" s="77">
        <v>0</v>
      </c>
      <c r="F157" s="77">
        <v>0</v>
      </c>
      <c r="G157" s="77">
        <v>0</v>
      </c>
      <c r="H157" s="65">
        <v>0</v>
      </c>
      <c r="I157" s="64">
        <v>0</v>
      </c>
      <c r="J157" s="64">
        <v>0</v>
      </c>
      <c r="K157" s="64">
        <v>0</v>
      </c>
      <c r="L157" s="64">
        <v>0</v>
      </c>
      <c r="M157" s="65">
        <v>0</v>
      </c>
    </row>
    <row r="158" spans="1:13" ht="30" x14ac:dyDescent="0.3">
      <c r="A158" s="403"/>
      <c r="B158" s="449"/>
      <c r="C158" s="30" t="s">
        <v>98</v>
      </c>
      <c r="D158" s="99"/>
      <c r="E158" s="77">
        <v>0</v>
      </c>
      <c r="F158" s="77">
        <v>0</v>
      </c>
      <c r="G158" s="77">
        <v>0</v>
      </c>
      <c r="H158" s="65">
        <v>0</v>
      </c>
      <c r="I158" s="64">
        <v>0</v>
      </c>
      <c r="J158" s="64">
        <v>0</v>
      </c>
      <c r="K158" s="64">
        <v>0</v>
      </c>
      <c r="L158" s="64">
        <v>0</v>
      </c>
      <c r="M158" s="65">
        <v>0</v>
      </c>
    </row>
    <row r="159" spans="1:13" ht="18.75" customHeight="1" x14ac:dyDescent="0.3">
      <c r="A159" s="548" t="s">
        <v>24</v>
      </c>
      <c r="B159" s="550" t="s">
        <v>330</v>
      </c>
      <c r="C159" s="58" t="s">
        <v>27</v>
      </c>
      <c r="D159" s="95"/>
      <c r="E159" s="62">
        <f t="shared" ref="E159:M159" si="28">E161</f>
        <v>108467.24</v>
      </c>
      <c r="F159" s="62">
        <f t="shared" si="28"/>
        <v>20928.59</v>
      </c>
      <c r="G159" s="62">
        <f t="shared" si="28"/>
        <v>7827.8276800000003</v>
      </c>
      <c r="H159" s="66">
        <f t="shared" si="28"/>
        <v>0</v>
      </c>
      <c r="I159" s="67">
        <f t="shared" si="28"/>
        <v>0</v>
      </c>
      <c r="J159" s="62">
        <f t="shared" si="28"/>
        <v>0</v>
      </c>
      <c r="K159" s="62">
        <f t="shared" si="28"/>
        <v>0</v>
      </c>
      <c r="L159" s="62">
        <f t="shared" si="28"/>
        <v>0</v>
      </c>
      <c r="M159" s="63">
        <f t="shared" si="28"/>
        <v>137223.65768</v>
      </c>
    </row>
    <row r="160" spans="1:13" ht="30" customHeight="1" x14ac:dyDescent="0.3">
      <c r="A160" s="481"/>
      <c r="B160" s="551"/>
      <c r="C160" s="59" t="s">
        <v>93</v>
      </c>
      <c r="D160" s="96"/>
      <c r="E160" s="68">
        <v>0</v>
      </c>
      <c r="F160" s="68">
        <v>0</v>
      </c>
      <c r="G160" s="68">
        <v>0</v>
      </c>
      <c r="H160" s="68">
        <v>0</v>
      </c>
      <c r="I160" s="68">
        <v>0</v>
      </c>
      <c r="J160" s="68">
        <v>0</v>
      </c>
      <c r="K160" s="68">
        <v>0</v>
      </c>
      <c r="L160" s="68">
        <v>0</v>
      </c>
      <c r="M160" s="85">
        <v>0</v>
      </c>
    </row>
    <row r="161" spans="1:13" ht="18.75" customHeight="1" x14ac:dyDescent="0.3">
      <c r="A161" s="481"/>
      <c r="B161" s="551"/>
      <c r="C161" s="59" t="s">
        <v>94</v>
      </c>
      <c r="D161" s="96"/>
      <c r="E161" s="68">
        <f>'Приложение 5'!H66</f>
        <v>108467.24</v>
      </c>
      <c r="F161" s="70">
        <f>'Приложение 5'!I66</f>
        <v>20928.59</v>
      </c>
      <c r="G161" s="70">
        <f>'Приложение 5'!J66</f>
        <v>7827.8276800000003</v>
      </c>
      <c r="H161" s="86">
        <f>'Приложение 5'!K66</f>
        <v>0</v>
      </c>
      <c r="I161" s="87">
        <f>'Приложение 5'!L66</f>
        <v>0</v>
      </c>
      <c r="J161" s="68">
        <f>'Приложение 5'!M66</f>
        <v>0</v>
      </c>
      <c r="K161" s="70">
        <f>'Приложение 5'!N66</f>
        <v>0</v>
      </c>
      <c r="L161" s="70">
        <f>'Приложение 5'!O66</f>
        <v>0</v>
      </c>
      <c r="M161" s="74">
        <f>SUM(E161:L161)</f>
        <v>137223.65768</v>
      </c>
    </row>
    <row r="162" spans="1:13" ht="47.1" customHeight="1" x14ac:dyDescent="0.3">
      <c r="A162" s="481"/>
      <c r="B162" s="551"/>
      <c r="C162" s="59" t="s">
        <v>95</v>
      </c>
      <c r="D162" s="96"/>
      <c r="E162" s="68">
        <v>0</v>
      </c>
      <c r="F162" s="68">
        <v>0</v>
      </c>
      <c r="G162" s="68">
        <v>0</v>
      </c>
      <c r="H162" s="68">
        <v>0</v>
      </c>
      <c r="I162" s="68">
        <v>0</v>
      </c>
      <c r="J162" s="68">
        <v>0</v>
      </c>
      <c r="K162" s="68">
        <v>0</v>
      </c>
      <c r="L162" s="68">
        <v>0</v>
      </c>
      <c r="M162" s="65">
        <f>SUM(E162:I162)</f>
        <v>0</v>
      </c>
    </row>
    <row r="163" spans="1:13" ht="63" customHeight="1" x14ac:dyDescent="0.3">
      <c r="A163" s="481"/>
      <c r="B163" s="551"/>
      <c r="C163" s="60" t="s">
        <v>96</v>
      </c>
      <c r="D163" s="96"/>
      <c r="E163" s="68">
        <v>0</v>
      </c>
      <c r="F163" s="68">
        <v>0</v>
      </c>
      <c r="G163" s="68">
        <v>0</v>
      </c>
      <c r="H163" s="68">
        <v>0</v>
      </c>
      <c r="I163" s="68">
        <v>0</v>
      </c>
      <c r="J163" s="68">
        <v>0</v>
      </c>
      <c r="K163" s="68">
        <v>0</v>
      </c>
      <c r="L163" s="68">
        <v>0</v>
      </c>
      <c r="M163" s="86">
        <v>0</v>
      </c>
    </row>
    <row r="164" spans="1:13" ht="63.95" customHeight="1" x14ac:dyDescent="0.3">
      <c r="A164" s="481"/>
      <c r="B164" s="551"/>
      <c r="C164" s="59" t="s">
        <v>97</v>
      </c>
      <c r="D164" s="96"/>
      <c r="E164" s="68">
        <v>0</v>
      </c>
      <c r="F164" s="70">
        <v>0</v>
      </c>
      <c r="G164" s="70">
        <v>0</v>
      </c>
      <c r="H164" s="86">
        <v>0</v>
      </c>
      <c r="I164" s="87">
        <v>0</v>
      </c>
      <c r="J164" s="86">
        <v>0</v>
      </c>
      <c r="K164" s="87">
        <v>0</v>
      </c>
      <c r="L164" s="86">
        <v>0</v>
      </c>
      <c r="M164" s="86">
        <v>0</v>
      </c>
    </row>
    <row r="165" spans="1:13" ht="30" x14ac:dyDescent="0.3">
      <c r="A165" s="549"/>
      <c r="B165" s="552"/>
      <c r="C165" s="59" t="s">
        <v>98</v>
      </c>
      <c r="D165" s="96"/>
      <c r="E165" s="68">
        <v>0</v>
      </c>
      <c r="F165" s="68">
        <v>0</v>
      </c>
      <c r="G165" s="68">
        <v>0</v>
      </c>
      <c r="H165" s="68">
        <v>0</v>
      </c>
      <c r="I165" s="68">
        <v>0</v>
      </c>
      <c r="J165" s="68">
        <v>0</v>
      </c>
      <c r="K165" s="68">
        <v>0</v>
      </c>
      <c r="L165" s="68">
        <v>0</v>
      </c>
      <c r="M165" s="85">
        <v>0</v>
      </c>
    </row>
    <row r="166" spans="1:13" ht="18.75" customHeight="1" x14ac:dyDescent="0.3">
      <c r="A166" s="548" t="s">
        <v>0</v>
      </c>
      <c r="B166" s="493" t="s">
        <v>368</v>
      </c>
      <c r="C166" s="58" t="s">
        <v>27</v>
      </c>
      <c r="D166" s="96"/>
      <c r="E166" s="88">
        <f t="shared" ref="E166:M166" si="29">E168</f>
        <v>105467.24</v>
      </c>
      <c r="F166" s="89">
        <f t="shared" si="29"/>
        <v>17228.59</v>
      </c>
      <c r="G166" s="89">
        <f t="shared" si="29"/>
        <v>6172.3476799999999</v>
      </c>
      <c r="H166" s="90">
        <f t="shared" si="29"/>
        <v>0</v>
      </c>
      <c r="I166" s="91">
        <f t="shared" si="29"/>
        <v>0</v>
      </c>
      <c r="J166" s="91">
        <f t="shared" si="29"/>
        <v>0</v>
      </c>
      <c r="K166" s="91">
        <f t="shared" si="29"/>
        <v>0</v>
      </c>
      <c r="L166" s="91">
        <f t="shared" si="29"/>
        <v>0</v>
      </c>
      <c r="M166" s="90">
        <f t="shared" si="29"/>
        <v>128868.17768000001</v>
      </c>
    </row>
    <row r="167" spans="1:13" ht="30" customHeight="1" x14ac:dyDescent="0.3">
      <c r="A167" s="481"/>
      <c r="B167" s="393"/>
      <c r="C167" s="59" t="s">
        <v>93</v>
      </c>
      <c r="D167" s="96"/>
      <c r="E167" s="68">
        <v>0</v>
      </c>
      <c r="F167" s="68">
        <v>0</v>
      </c>
      <c r="G167" s="68">
        <v>0</v>
      </c>
      <c r="H167" s="68">
        <v>0</v>
      </c>
      <c r="I167" s="68">
        <v>0</v>
      </c>
      <c r="J167" s="68">
        <v>0</v>
      </c>
      <c r="K167" s="68">
        <v>0</v>
      </c>
      <c r="L167" s="68">
        <v>0</v>
      </c>
      <c r="M167" s="85">
        <v>0</v>
      </c>
    </row>
    <row r="168" spans="1:13" ht="18.75" customHeight="1" x14ac:dyDescent="0.3">
      <c r="A168" s="481"/>
      <c r="B168" s="393"/>
      <c r="C168" s="59" t="s">
        <v>94</v>
      </c>
      <c r="D168" s="96"/>
      <c r="E168" s="68">
        <f>'Приложение 5'!H72+'Приложение 5'!H74</f>
        <v>105467.24</v>
      </c>
      <c r="F168" s="68">
        <f>'Приложение 5'!I72+'Приложение 5'!I74</f>
        <v>17228.59</v>
      </c>
      <c r="G168" s="68">
        <f>'Приложение 5'!J72+'Приложение 5'!J74</f>
        <v>6172.3476799999999</v>
      </c>
      <c r="H168" s="86">
        <f>'Приложение 5'!K71</f>
        <v>0</v>
      </c>
      <c r="I168" s="87">
        <f>'Приложение 5'!L71</f>
        <v>0</v>
      </c>
      <c r="J168" s="87">
        <f>'Приложение 5'!M71</f>
        <v>0</v>
      </c>
      <c r="K168" s="87">
        <f>'Приложение 5'!N71</f>
        <v>0</v>
      </c>
      <c r="L168" s="87">
        <f>'Приложение 5'!O71</f>
        <v>0</v>
      </c>
      <c r="M168" s="86">
        <f>'Приложение 5'!P71</f>
        <v>128868.17768000001</v>
      </c>
    </row>
    <row r="169" spans="1:13" ht="47.1" customHeight="1" x14ac:dyDescent="0.3">
      <c r="A169" s="481"/>
      <c r="B169" s="393"/>
      <c r="C169" s="59" t="s">
        <v>95</v>
      </c>
      <c r="D169" s="96"/>
      <c r="E169" s="68">
        <v>0</v>
      </c>
      <c r="F169" s="68">
        <v>0</v>
      </c>
      <c r="G169" s="68">
        <v>0</v>
      </c>
      <c r="H169" s="68">
        <v>0</v>
      </c>
      <c r="I169" s="68">
        <v>0</v>
      </c>
      <c r="J169" s="68">
        <v>0</v>
      </c>
      <c r="K169" s="68">
        <v>0</v>
      </c>
      <c r="L169" s="68">
        <v>0</v>
      </c>
      <c r="M169" s="85">
        <v>0</v>
      </c>
    </row>
    <row r="170" spans="1:13" ht="63" customHeight="1" x14ac:dyDescent="0.3">
      <c r="A170" s="481"/>
      <c r="B170" s="393"/>
      <c r="C170" s="60" t="s">
        <v>96</v>
      </c>
      <c r="D170" s="96"/>
      <c r="E170" s="68">
        <v>0</v>
      </c>
      <c r="F170" s="68">
        <v>0</v>
      </c>
      <c r="G170" s="68">
        <v>0</v>
      </c>
      <c r="H170" s="68">
        <v>0</v>
      </c>
      <c r="I170" s="68">
        <v>0</v>
      </c>
      <c r="J170" s="68">
        <v>0</v>
      </c>
      <c r="K170" s="68">
        <v>0</v>
      </c>
      <c r="L170" s="68">
        <v>0</v>
      </c>
      <c r="M170" s="85">
        <v>0</v>
      </c>
    </row>
    <row r="171" spans="1:13" ht="63.95" customHeight="1" x14ac:dyDescent="0.3">
      <c r="A171" s="481"/>
      <c r="B171" s="393"/>
      <c r="C171" s="59" t="s">
        <v>97</v>
      </c>
      <c r="D171" s="96"/>
      <c r="E171" s="68">
        <v>0</v>
      </c>
      <c r="F171" s="68">
        <v>0</v>
      </c>
      <c r="G171" s="68">
        <v>0</v>
      </c>
      <c r="H171" s="68">
        <v>0</v>
      </c>
      <c r="I171" s="68">
        <v>0</v>
      </c>
      <c r="J171" s="68">
        <v>0</v>
      </c>
      <c r="K171" s="68">
        <v>0</v>
      </c>
      <c r="L171" s="68">
        <v>0</v>
      </c>
      <c r="M171" s="85">
        <v>0</v>
      </c>
    </row>
    <row r="172" spans="1:13" ht="30" x14ac:dyDescent="0.3">
      <c r="A172" s="549"/>
      <c r="B172" s="506"/>
      <c r="C172" s="59" t="s">
        <v>98</v>
      </c>
      <c r="D172" s="96"/>
      <c r="E172" s="68">
        <v>0</v>
      </c>
      <c r="F172" s="68">
        <v>0</v>
      </c>
      <c r="G172" s="68">
        <v>0</v>
      </c>
      <c r="H172" s="68">
        <v>0</v>
      </c>
      <c r="I172" s="68">
        <v>0</v>
      </c>
      <c r="J172" s="68">
        <v>0</v>
      </c>
      <c r="K172" s="68">
        <v>0</v>
      </c>
      <c r="L172" s="68">
        <v>0</v>
      </c>
      <c r="M172" s="85">
        <v>0</v>
      </c>
    </row>
    <row r="173" spans="1:13" ht="18.75" customHeight="1" x14ac:dyDescent="0.3">
      <c r="A173" s="433" t="s">
        <v>182</v>
      </c>
      <c r="B173" s="547" t="s">
        <v>58</v>
      </c>
      <c r="C173" s="29" t="s">
        <v>27</v>
      </c>
      <c r="D173" s="100" t="s">
        <v>35</v>
      </c>
      <c r="E173" s="62">
        <f t="shared" ref="E173:L173" si="30">SUM(E174:E179)</f>
        <v>75867.240000000005</v>
      </c>
      <c r="F173" s="63">
        <f t="shared" si="30"/>
        <v>9308.89</v>
      </c>
      <c r="G173" s="63">
        <f t="shared" si="30"/>
        <v>4418.9120800000001</v>
      </c>
      <c r="H173" s="63">
        <f t="shared" si="30"/>
        <v>0</v>
      </c>
      <c r="I173" s="62">
        <f t="shared" si="30"/>
        <v>0</v>
      </c>
      <c r="J173" s="62">
        <f t="shared" si="30"/>
        <v>0</v>
      </c>
      <c r="K173" s="63">
        <f t="shared" si="30"/>
        <v>0</v>
      </c>
      <c r="L173" s="63">
        <f t="shared" si="30"/>
        <v>0</v>
      </c>
      <c r="M173" s="63">
        <f>SUM(E173:I173)</f>
        <v>89595.042079999999</v>
      </c>
    </row>
    <row r="174" spans="1:13" ht="30" customHeight="1" x14ac:dyDescent="0.3">
      <c r="A174" s="433"/>
      <c r="B174" s="547"/>
      <c r="C174" s="30" t="s">
        <v>93</v>
      </c>
      <c r="D174" s="99"/>
      <c r="E174" s="68">
        <v>0</v>
      </c>
      <c r="F174" s="65">
        <v>0</v>
      </c>
      <c r="G174" s="65">
        <v>0</v>
      </c>
      <c r="H174" s="65">
        <v>0</v>
      </c>
      <c r="I174" s="64">
        <v>0</v>
      </c>
      <c r="J174" s="65">
        <v>0</v>
      </c>
      <c r="K174" s="64">
        <v>0</v>
      </c>
      <c r="L174" s="65">
        <v>0</v>
      </c>
      <c r="M174" s="65">
        <f>SUM(E174:I174)</f>
        <v>0</v>
      </c>
    </row>
    <row r="175" spans="1:13" ht="18.75" customHeight="1" x14ac:dyDescent="0.3">
      <c r="A175" s="433"/>
      <c r="B175" s="547"/>
      <c r="C175" s="31" t="s">
        <v>94</v>
      </c>
      <c r="D175" s="99" t="s">
        <v>35</v>
      </c>
      <c r="E175" s="64">
        <f>'Приложение 5'!H75</f>
        <v>75867.240000000005</v>
      </c>
      <c r="F175" s="64">
        <f>'Приложение 5'!I75</f>
        <v>9308.89</v>
      </c>
      <c r="G175" s="64">
        <f>'Приложение 5'!J75</f>
        <v>4418.9120800000001</v>
      </c>
      <c r="H175" s="64">
        <f>'Приложение 5'!K75</f>
        <v>0</v>
      </c>
      <c r="I175" s="64">
        <f>'Приложение 5'!L75</f>
        <v>0</v>
      </c>
      <c r="J175" s="64">
        <f>'Приложение 5'!M75</f>
        <v>0</v>
      </c>
      <c r="K175" s="64">
        <f>'Приложение 5'!N75</f>
        <v>0</v>
      </c>
      <c r="L175" s="64">
        <f>'Приложение 5'!O75</f>
        <v>0</v>
      </c>
      <c r="M175" s="74">
        <f>SUM(E175:I175)</f>
        <v>89595.042079999999</v>
      </c>
    </row>
    <row r="176" spans="1:13" ht="47.1" customHeight="1" x14ac:dyDescent="0.3">
      <c r="A176" s="433"/>
      <c r="B176" s="547"/>
      <c r="C176" s="32" t="s">
        <v>95</v>
      </c>
      <c r="D176" s="99"/>
      <c r="E176" s="64">
        <v>0</v>
      </c>
      <c r="F176" s="65">
        <v>0</v>
      </c>
      <c r="G176" s="65">
        <v>0</v>
      </c>
      <c r="H176" s="65">
        <v>0</v>
      </c>
      <c r="I176" s="64">
        <v>0</v>
      </c>
      <c r="J176" s="64">
        <v>0</v>
      </c>
      <c r="K176" s="64">
        <v>0</v>
      </c>
      <c r="L176" s="64">
        <v>0</v>
      </c>
      <c r="M176" s="65">
        <f>SUM(E176:I176)</f>
        <v>0</v>
      </c>
    </row>
    <row r="177" spans="1:13" ht="63" customHeight="1" x14ac:dyDescent="0.3">
      <c r="A177" s="433"/>
      <c r="B177" s="547"/>
      <c r="C177" s="30" t="s">
        <v>96</v>
      </c>
      <c r="D177" s="99"/>
      <c r="E177" s="65">
        <v>0</v>
      </c>
      <c r="F177" s="65">
        <v>0</v>
      </c>
      <c r="G177" s="65">
        <v>0</v>
      </c>
      <c r="H177" s="65">
        <v>0</v>
      </c>
      <c r="I177" s="64">
        <v>0</v>
      </c>
      <c r="J177" s="64">
        <v>0</v>
      </c>
      <c r="K177" s="64">
        <v>0</v>
      </c>
      <c r="L177" s="64">
        <v>0</v>
      </c>
      <c r="M177" s="65">
        <v>0</v>
      </c>
    </row>
    <row r="178" spans="1:13" ht="63.95" customHeight="1" x14ac:dyDescent="0.3">
      <c r="A178" s="433"/>
      <c r="B178" s="547"/>
      <c r="C178" s="30" t="s">
        <v>97</v>
      </c>
      <c r="D178" s="99"/>
      <c r="E178" s="65">
        <v>0</v>
      </c>
      <c r="F178" s="65">
        <v>0</v>
      </c>
      <c r="G178" s="65">
        <v>0</v>
      </c>
      <c r="H178" s="65">
        <v>0</v>
      </c>
      <c r="I178" s="64">
        <v>0</v>
      </c>
      <c r="J178" s="64">
        <v>0</v>
      </c>
      <c r="K178" s="64">
        <v>0</v>
      </c>
      <c r="L178" s="64">
        <v>0</v>
      </c>
      <c r="M178" s="65">
        <v>0</v>
      </c>
    </row>
    <row r="179" spans="1:13" ht="30" x14ac:dyDescent="0.3">
      <c r="A179" s="433"/>
      <c r="B179" s="547"/>
      <c r="C179" s="101" t="s">
        <v>98</v>
      </c>
      <c r="D179" s="99"/>
      <c r="E179" s="65">
        <v>0</v>
      </c>
      <c r="F179" s="65">
        <v>0</v>
      </c>
      <c r="G179" s="65">
        <v>0</v>
      </c>
      <c r="H179" s="65">
        <v>0</v>
      </c>
      <c r="I179" s="64">
        <v>0</v>
      </c>
      <c r="J179" s="64">
        <v>0</v>
      </c>
      <c r="K179" s="64">
        <v>0</v>
      </c>
      <c r="L179" s="64">
        <v>0</v>
      </c>
      <c r="M179" s="65">
        <v>0</v>
      </c>
    </row>
    <row r="180" spans="1:13" ht="18.75" customHeight="1" x14ac:dyDescent="0.3">
      <c r="A180" s="432" t="s">
        <v>200</v>
      </c>
      <c r="B180" s="547" t="s">
        <v>58</v>
      </c>
      <c r="C180" s="29" t="s">
        <v>27</v>
      </c>
      <c r="D180" s="100" t="s">
        <v>35</v>
      </c>
      <c r="E180" s="62">
        <f>SUM(E181:E186)</f>
        <v>75867.240000000005</v>
      </c>
      <c r="F180" s="63">
        <f>SUM(F181:F186)</f>
        <v>9308.89</v>
      </c>
      <c r="G180" s="63">
        <f>SUM(G181:G186)</f>
        <v>3577.5893599999999</v>
      </c>
      <c r="H180" s="63">
        <v>0</v>
      </c>
      <c r="I180" s="62">
        <v>0</v>
      </c>
      <c r="J180" s="62">
        <f>SUM(J181:J186)</f>
        <v>0</v>
      </c>
      <c r="K180" s="63">
        <f>SUM(K181:K186)</f>
        <v>0</v>
      </c>
      <c r="L180" s="63">
        <f>SUM(L181:L186)</f>
        <v>0</v>
      </c>
      <c r="M180" s="63">
        <f>SUM(E180:L180)</f>
        <v>88753.719360000003</v>
      </c>
    </row>
    <row r="181" spans="1:13" ht="30" customHeight="1" x14ac:dyDescent="0.3">
      <c r="A181" s="402"/>
      <c r="B181" s="547"/>
      <c r="C181" s="30" t="s">
        <v>93</v>
      </c>
      <c r="D181" s="99"/>
      <c r="E181" s="68">
        <v>0</v>
      </c>
      <c r="F181" s="65">
        <v>0</v>
      </c>
      <c r="G181" s="65">
        <v>0</v>
      </c>
      <c r="H181" s="65">
        <v>0</v>
      </c>
      <c r="I181" s="64">
        <v>0</v>
      </c>
      <c r="J181" s="65">
        <v>0</v>
      </c>
      <c r="K181" s="64">
        <v>0</v>
      </c>
      <c r="L181" s="65">
        <v>0</v>
      </c>
      <c r="M181" s="65">
        <f>SUM(E181:I181)</f>
        <v>0</v>
      </c>
    </row>
    <row r="182" spans="1:13" ht="18.75" customHeight="1" x14ac:dyDescent="0.3">
      <c r="A182" s="402"/>
      <c r="B182" s="547"/>
      <c r="C182" s="31" t="s">
        <v>94</v>
      </c>
      <c r="D182" s="99" t="s">
        <v>35</v>
      </c>
      <c r="E182" s="64">
        <f>'Приложение 5'!$H$76</f>
        <v>75867.240000000005</v>
      </c>
      <c r="F182" s="65">
        <f>'Приложение 5'!$I$77</f>
        <v>9308.89</v>
      </c>
      <c r="G182" s="65">
        <f>'Приложение 5'!$J$77</f>
        <v>3577.5893599999999</v>
      </c>
      <c r="H182" s="65">
        <f>'Приложение 5'!$K$78</f>
        <v>0</v>
      </c>
      <c r="I182" s="64">
        <f>'Приложение 5'!$L$78</f>
        <v>0</v>
      </c>
      <c r="J182" s="64">
        <f>'Приложение 5'!$H$78</f>
        <v>0</v>
      </c>
      <c r="K182" s="65">
        <f>'Приложение 5'!$I$78</f>
        <v>0</v>
      </c>
      <c r="L182" s="65">
        <f>'Приложение 5'!$J$78</f>
        <v>0</v>
      </c>
      <c r="M182" s="65">
        <f>SUM(E182:L182)</f>
        <v>88753.719360000003</v>
      </c>
    </row>
    <row r="183" spans="1:13" ht="47.1" customHeight="1" x14ac:dyDescent="0.3">
      <c r="A183" s="402"/>
      <c r="B183" s="547"/>
      <c r="C183" s="32" t="s">
        <v>95</v>
      </c>
      <c r="D183" s="99"/>
      <c r="E183" s="64">
        <v>0</v>
      </c>
      <c r="F183" s="65">
        <v>0</v>
      </c>
      <c r="G183" s="65">
        <v>0</v>
      </c>
      <c r="H183" s="65">
        <v>0</v>
      </c>
      <c r="I183" s="64">
        <v>0</v>
      </c>
      <c r="J183" s="64">
        <v>0</v>
      </c>
      <c r="K183" s="64">
        <v>0</v>
      </c>
      <c r="L183" s="64">
        <v>0</v>
      </c>
      <c r="M183" s="65">
        <f>SUM(E183:I183)</f>
        <v>0</v>
      </c>
    </row>
    <row r="184" spans="1:13" ht="63" customHeight="1" x14ac:dyDescent="0.3">
      <c r="A184" s="402"/>
      <c r="B184" s="547"/>
      <c r="C184" s="30" t="s">
        <v>96</v>
      </c>
      <c r="D184" s="99"/>
      <c r="E184" s="65">
        <v>0</v>
      </c>
      <c r="F184" s="65">
        <v>0</v>
      </c>
      <c r="G184" s="65">
        <v>0</v>
      </c>
      <c r="H184" s="65">
        <v>0</v>
      </c>
      <c r="I184" s="64">
        <v>0</v>
      </c>
      <c r="J184" s="64">
        <v>0</v>
      </c>
      <c r="K184" s="64">
        <v>0</v>
      </c>
      <c r="L184" s="64">
        <v>0</v>
      </c>
      <c r="M184" s="65">
        <v>0</v>
      </c>
    </row>
    <row r="185" spans="1:13" ht="63.95" customHeight="1" x14ac:dyDescent="0.3">
      <c r="A185" s="402"/>
      <c r="B185" s="547"/>
      <c r="C185" s="30" t="s">
        <v>97</v>
      </c>
      <c r="D185" s="99"/>
      <c r="E185" s="65">
        <v>0</v>
      </c>
      <c r="F185" s="65">
        <v>0</v>
      </c>
      <c r="G185" s="65">
        <v>0</v>
      </c>
      <c r="H185" s="65">
        <v>0</v>
      </c>
      <c r="I185" s="64">
        <v>0</v>
      </c>
      <c r="J185" s="64">
        <v>0</v>
      </c>
      <c r="K185" s="64">
        <v>0</v>
      </c>
      <c r="L185" s="64">
        <v>0</v>
      </c>
      <c r="M185" s="65">
        <v>0</v>
      </c>
    </row>
    <row r="186" spans="1:13" ht="30" x14ac:dyDescent="0.3">
      <c r="A186" s="403"/>
      <c r="B186" s="547"/>
      <c r="C186" s="101" t="s">
        <v>98</v>
      </c>
      <c r="D186" s="99"/>
      <c r="E186" s="65">
        <v>0</v>
      </c>
      <c r="F186" s="65">
        <v>0</v>
      </c>
      <c r="G186" s="65">
        <v>0</v>
      </c>
      <c r="H186" s="65">
        <v>0</v>
      </c>
      <c r="I186" s="64">
        <v>0</v>
      </c>
      <c r="J186" s="64">
        <v>0</v>
      </c>
      <c r="K186" s="64">
        <v>0</v>
      </c>
      <c r="L186" s="64">
        <v>0</v>
      </c>
      <c r="M186" s="65">
        <v>0</v>
      </c>
    </row>
    <row r="187" spans="1:13" ht="18.75" customHeight="1" x14ac:dyDescent="0.3">
      <c r="A187" s="432" t="s">
        <v>201</v>
      </c>
      <c r="B187" s="509" t="s">
        <v>184</v>
      </c>
      <c r="C187" s="29" t="s">
        <v>27</v>
      </c>
      <c r="D187" s="100" t="s">
        <v>35</v>
      </c>
      <c r="E187" s="62">
        <v>0</v>
      </c>
      <c r="F187" s="62">
        <v>0</v>
      </c>
      <c r="G187" s="63">
        <f>SUM(G188:G193)</f>
        <v>841.32272</v>
      </c>
      <c r="H187" s="63">
        <v>0</v>
      </c>
      <c r="I187" s="62">
        <v>0</v>
      </c>
      <c r="J187" s="63">
        <f>SUM(J188:J193)</f>
        <v>0</v>
      </c>
      <c r="K187" s="63">
        <v>0</v>
      </c>
      <c r="L187" s="62">
        <v>0</v>
      </c>
      <c r="M187" s="63">
        <f>SUM(E187:I187)</f>
        <v>841.32272</v>
      </c>
    </row>
    <row r="188" spans="1:13" ht="30" customHeight="1" x14ac:dyDescent="0.3">
      <c r="A188" s="402"/>
      <c r="B188" s="449"/>
      <c r="C188" s="30" t="s">
        <v>93</v>
      </c>
      <c r="D188" s="99"/>
      <c r="E188" s="64">
        <v>0</v>
      </c>
      <c r="F188" s="64">
        <v>0</v>
      </c>
      <c r="G188" s="64">
        <v>0</v>
      </c>
      <c r="H188" s="64">
        <v>0</v>
      </c>
      <c r="I188" s="64">
        <v>0</v>
      </c>
      <c r="J188" s="64">
        <v>0</v>
      </c>
      <c r="K188" s="64">
        <v>0</v>
      </c>
      <c r="L188" s="64">
        <v>0</v>
      </c>
      <c r="M188" s="65">
        <v>0</v>
      </c>
    </row>
    <row r="189" spans="1:13" ht="18.75" customHeight="1" x14ac:dyDescent="0.3">
      <c r="A189" s="402"/>
      <c r="B189" s="449"/>
      <c r="C189" s="31" t="s">
        <v>94</v>
      </c>
      <c r="D189" s="99" t="s">
        <v>35</v>
      </c>
      <c r="E189" s="64">
        <v>0</v>
      </c>
      <c r="F189" s="65">
        <f>'Приложение 5'!I79</f>
        <v>0</v>
      </c>
      <c r="G189" s="65">
        <f>'Приложение 5'!J79</f>
        <v>841.32272</v>
      </c>
      <c r="H189" s="65">
        <f>'Приложение 5'!K80</f>
        <v>0</v>
      </c>
      <c r="I189" s="65">
        <f>'Приложение 5'!L80</f>
        <v>0</v>
      </c>
      <c r="J189" s="65">
        <f>'Приложение 5'!M80</f>
        <v>0</v>
      </c>
      <c r="K189" s="65">
        <f>'Приложение 5'!N80</f>
        <v>0</v>
      </c>
      <c r="L189" s="65">
        <f>'Приложение 5'!O80</f>
        <v>0</v>
      </c>
      <c r="M189" s="65">
        <f>SUM(E189:I189)</f>
        <v>841.32272</v>
      </c>
    </row>
    <row r="190" spans="1:13" ht="47.1" customHeight="1" x14ac:dyDescent="0.3">
      <c r="A190" s="402"/>
      <c r="B190" s="449"/>
      <c r="C190" s="32" t="s">
        <v>95</v>
      </c>
      <c r="D190" s="99"/>
      <c r="E190" s="64">
        <v>0</v>
      </c>
      <c r="F190" s="65">
        <v>0</v>
      </c>
      <c r="G190" s="65">
        <v>0</v>
      </c>
      <c r="H190" s="65">
        <v>0</v>
      </c>
      <c r="I190" s="64">
        <v>0</v>
      </c>
      <c r="J190" s="64">
        <v>0</v>
      </c>
      <c r="K190" s="64">
        <v>0</v>
      </c>
      <c r="L190" s="64">
        <v>0</v>
      </c>
      <c r="M190" s="65">
        <f>SUM(E190:I190)</f>
        <v>0</v>
      </c>
    </row>
    <row r="191" spans="1:13" ht="63" customHeight="1" x14ac:dyDescent="0.3">
      <c r="A191" s="402"/>
      <c r="B191" s="449"/>
      <c r="C191" s="30" t="s">
        <v>96</v>
      </c>
      <c r="D191" s="99"/>
      <c r="E191" s="65">
        <v>0</v>
      </c>
      <c r="F191" s="65">
        <v>0</v>
      </c>
      <c r="G191" s="65">
        <v>0</v>
      </c>
      <c r="H191" s="65">
        <v>0</v>
      </c>
      <c r="I191" s="64">
        <v>0</v>
      </c>
      <c r="J191" s="64">
        <v>0</v>
      </c>
      <c r="K191" s="64">
        <v>0</v>
      </c>
      <c r="L191" s="64">
        <v>0</v>
      </c>
      <c r="M191" s="65">
        <v>0</v>
      </c>
    </row>
    <row r="192" spans="1:13" ht="63.95" customHeight="1" x14ac:dyDescent="0.3">
      <c r="A192" s="402"/>
      <c r="B192" s="449"/>
      <c r="C192" s="30" t="s">
        <v>97</v>
      </c>
      <c r="D192" s="99"/>
      <c r="E192" s="65">
        <v>0</v>
      </c>
      <c r="F192" s="65">
        <v>0</v>
      </c>
      <c r="G192" s="65">
        <v>0</v>
      </c>
      <c r="H192" s="65">
        <v>0</v>
      </c>
      <c r="I192" s="64">
        <v>0</v>
      </c>
      <c r="J192" s="64">
        <v>0</v>
      </c>
      <c r="K192" s="64">
        <v>0</v>
      </c>
      <c r="L192" s="64">
        <v>0</v>
      </c>
      <c r="M192" s="65">
        <v>0</v>
      </c>
    </row>
    <row r="193" spans="1:13" ht="30" x14ac:dyDescent="0.3">
      <c r="A193" s="403"/>
      <c r="B193" s="510"/>
      <c r="C193" s="101" t="s">
        <v>98</v>
      </c>
      <c r="D193" s="99"/>
      <c r="E193" s="65">
        <v>0</v>
      </c>
      <c r="F193" s="65">
        <v>0</v>
      </c>
      <c r="G193" s="65">
        <v>0</v>
      </c>
      <c r="H193" s="65">
        <v>0</v>
      </c>
      <c r="I193" s="64">
        <v>0</v>
      </c>
      <c r="J193" s="64">
        <v>0</v>
      </c>
      <c r="K193" s="64">
        <v>0</v>
      </c>
      <c r="L193" s="64">
        <v>0</v>
      </c>
      <c r="M193" s="65">
        <v>0</v>
      </c>
    </row>
    <row r="194" spans="1:13" ht="18.75" customHeight="1" x14ac:dyDescent="0.3">
      <c r="A194" s="433" t="s">
        <v>183</v>
      </c>
      <c r="B194" s="547" t="s">
        <v>100</v>
      </c>
      <c r="C194" s="29" t="s">
        <v>27</v>
      </c>
      <c r="D194" s="100" t="s">
        <v>116</v>
      </c>
      <c r="E194" s="62">
        <f t="shared" ref="E194:L194" si="31">SUM(E195:E200)</f>
        <v>0</v>
      </c>
      <c r="F194" s="63">
        <f t="shared" si="31"/>
        <v>1449.6999999999998</v>
      </c>
      <c r="G194" s="63">
        <f t="shared" si="31"/>
        <v>0</v>
      </c>
      <c r="H194" s="63">
        <f t="shared" si="31"/>
        <v>0</v>
      </c>
      <c r="I194" s="62">
        <f t="shared" si="31"/>
        <v>0</v>
      </c>
      <c r="J194" s="62">
        <f t="shared" si="31"/>
        <v>0</v>
      </c>
      <c r="K194" s="63">
        <f t="shared" si="31"/>
        <v>0</v>
      </c>
      <c r="L194" s="63">
        <f t="shared" si="31"/>
        <v>0</v>
      </c>
      <c r="M194" s="63">
        <f>SUM(E194:L194)</f>
        <v>1449.6999999999998</v>
      </c>
    </row>
    <row r="195" spans="1:13" ht="30" customHeight="1" x14ac:dyDescent="0.3">
      <c r="A195" s="433"/>
      <c r="B195" s="547"/>
      <c r="C195" s="30" t="s">
        <v>93</v>
      </c>
      <c r="D195" s="99"/>
      <c r="E195" s="68">
        <v>0</v>
      </c>
      <c r="F195" s="65">
        <v>0</v>
      </c>
      <c r="G195" s="65">
        <v>0</v>
      </c>
      <c r="H195" s="65">
        <v>0</v>
      </c>
      <c r="I195" s="64">
        <v>0</v>
      </c>
      <c r="J195" s="65">
        <v>0</v>
      </c>
      <c r="K195" s="64">
        <v>0</v>
      </c>
      <c r="L195" s="65">
        <v>0</v>
      </c>
      <c r="M195" s="65">
        <f>SUM(E195:I195)</f>
        <v>0</v>
      </c>
    </row>
    <row r="196" spans="1:13" ht="18.75" customHeight="1" x14ac:dyDescent="0.3">
      <c r="A196" s="433"/>
      <c r="B196" s="547"/>
      <c r="C196" s="31" t="s">
        <v>94</v>
      </c>
      <c r="D196" s="99" t="s">
        <v>116</v>
      </c>
      <c r="E196" s="64">
        <f>'Приложение 5'!H81</f>
        <v>0</v>
      </c>
      <c r="F196" s="65">
        <f>'Приложение 5'!I82+'Приложение 5'!I83+'Приложение 5'!I85</f>
        <v>1449.6999999999998</v>
      </c>
      <c r="G196" s="65">
        <f>'Приложение 5'!J82+'Приложение 5'!J83+'Приложение 5'!J85</f>
        <v>0</v>
      </c>
      <c r="H196" s="65">
        <f>'Приложение 5'!K84</f>
        <v>0</v>
      </c>
      <c r="I196" s="65">
        <f>'Приложение 5'!L84</f>
        <v>0</v>
      </c>
      <c r="J196" s="65">
        <f>'Приложение 5'!M84</f>
        <v>0</v>
      </c>
      <c r="K196" s="65">
        <f>'Приложение 5'!N84</f>
        <v>0</v>
      </c>
      <c r="L196" s="65">
        <f>'Приложение 5'!O84</f>
        <v>0</v>
      </c>
      <c r="M196" s="74">
        <f>SUM(E196:I196)</f>
        <v>1449.6999999999998</v>
      </c>
    </row>
    <row r="197" spans="1:13" ht="47.1" customHeight="1" x14ac:dyDescent="0.3">
      <c r="A197" s="433"/>
      <c r="B197" s="547"/>
      <c r="C197" s="32" t="s">
        <v>95</v>
      </c>
      <c r="D197" s="99"/>
      <c r="E197" s="64">
        <v>0</v>
      </c>
      <c r="F197" s="65">
        <v>0</v>
      </c>
      <c r="G197" s="65">
        <v>0</v>
      </c>
      <c r="H197" s="65">
        <v>0</v>
      </c>
      <c r="I197" s="64">
        <v>0</v>
      </c>
      <c r="J197" s="64">
        <v>0</v>
      </c>
      <c r="K197" s="64">
        <v>0</v>
      </c>
      <c r="L197" s="64">
        <v>0</v>
      </c>
      <c r="M197" s="65">
        <f>SUM(E197:I197)</f>
        <v>0</v>
      </c>
    </row>
    <row r="198" spans="1:13" ht="63" customHeight="1" x14ac:dyDescent="0.3">
      <c r="A198" s="433"/>
      <c r="B198" s="547"/>
      <c r="C198" s="30" t="s">
        <v>96</v>
      </c>
      <c r="D198" s="99"/>
      <c r="E198" s="65">
        <v>0</v>
      </c>
      <c r="F198" s="65">
        <v>0</v>
      </c>
      <c r="G198" s="65">
        <v>0</v>
      </c>
      <c r="H198" s="65">
        <v>0</v>
      </c>
      <c r="I198" s="64">
        <v>0</v>
      </c>
      <c r="J198" s="64">
        <v>0</v>
      </c>
      <c r="K198" s="64">
        <v>0</v>
      </c>
      <c r="L198" s="64">
        <v>0</v>
      </c>
      <c r="M198" s="65">
        <v>0</v>
      </c>
    </row>
    <row r="199" spans="1:13" ht="63.95" customHeight="1" x14ac:dyDescent="0.3">
      <c r="A199" s="433"/>
      <c r="B199" s="547"/>
      <c r="C199" s="30" t="s">
        <v>97</v>
      </c>
      <c r="D199" s="99"/>
      <c r="E199" s="65">
        <v>0</v>
      </c>
      <c r="F199" s="65">
        <v>0</v>
      </c>
      <c r="G199" s="65">
        <v>0</v>
      </c>
      <c r="H199" s="65">
        <v>0</v>
      </c>
      <c r="I199" s="64">
        <v>0</v>
      </c>
      <c r="J199" s="64">
        <v>0</v>
      </c>
      <c r="K199" s="64">
        <v>0</v>
      </c>
      <c r="L199" s="64">
        <v>0</v>
      </c>
      <c r="M199" s="65">
        <v>0</v>
      </c>
    </row>
    <row r="200" spans="1:13" ht="30" x14ac:dyDescent="0.3">
      <c r="A200" s="433"/>
      <c r="B200" s="547"/>
      <c r="C200" s="101" t="s">
        <v>98</v>
      </c>
      <c r="D200" s="99"/>
      <c r="E200" s="65">
        <v>0</v>
      </c>
      <c r="F200" s="65">
        <v>0</v>
      </c>
      <c r="G200" s="65">
        <v>0</v>
      </c>
      <c r="H200" s="65">
        <v>0</v>
      </c>
      <c r="I200" s="64">
        <v>0</v>
      </c>
      <c r="J200" s="64">
        <v>0</v>
      </c>
      <c r="K200" s="64">
        <v>0</v>
      </c>
      <c r="L200" s="64">
        <v>0</v>
      </c>
      <c r="M200" s="65">
        <v>0</v>
      </c>
    </row>
    <row r="201" spans="1:13" ht="18.75" customHeight="1" x14ac:dyDescent="0.3">
      <c r="A201" s="433" t="s">
        <v>202</v>
      </c>
      <c r="B201" s="547" t="s">
        <v>60</v>
      </c>
      <c r="C201" s="29" t="s">
        <v>27</v>
      </c>
      <c r="D201" s="102">
        <v>755</v>
      </c>
      <c r="E201" s="62">
        <f t="shared" ref="E201:L201" si="32">SUM(E202:E207)</f>
        <v>28300</v>
      </c>
      <c r="F201" s="63">
        <f t="shared" si="32"/>
        <v>3470</v>
      </c>
      <c r="G201" s="63">
        <f t="shared" si="32"/>
        <v>628.38560000000007</v>
      </c>
      <c r="H201" s="63">
        <f t="shared" si="32"/>
        <v>0</v>
      </c>
      <c r="I201" s="62">
        <f t="shared" si="32"/>
        <v>0</v>
      </c>
      <c r="J201" s="62">
        <f t="shared" si="32"/>
        <v>0</v>
      </c>
      <c r="K201" s="63">
        <f t="shared" si="32"/>
        <v>0</v>
      </c>
      <c r="L201" s="63">
        <f t="shared" si="32"/>
        <v>0</v>
      </c>
      <c r="M201" s="63">
        <f>SUM(E201:I201)</f>
        <v>32398.385600000001</v>
      </c>
    </row>
    <row r="202" spans="1:13" ht="30" customHeight="1" x14ac:dyDescent="0.3">
      <c r="A202" s="433"/>
      <c r="B202" s="547"/>
      <c r="C202" s="30" t="s">
        <v>93</v>
      </c>
      <c r="D202" s="99"/>
      <c r="E202" s="68">
        <v>0</v>
      </c>
      <c r="F202" s="65">
        <v>0</v>
      </c>
      <c r="G202" s="65">
        <v>0</v>
      </c>
      <c r="H202" s="65">
        <v>0</v>
      </c>
      <c r="I202" s="64">
        <v>0</v>
      </c>
      <c r="J202" s="65">
        <v>0</v>
      </c>
      <c r="K202" s="64">
        <v>0</v>
      </c>
      <c r="L202" s="65">
        <v>0</v>
      </c>
      <c r="M202" s="65">
        <f>SUM(E202:I202)</f>
        <v>0</v>
      </c>
    </row>
    <row r="203" spans="1:13" ht="18.75" customHeight="1" x14ac:dyDescent="0.3">
      <c r="A203" s="433"/>
      <c r="B203" s="547"/>
      <c r="C203" s="31" t="s">
        <v>94</v>
      </c>
      <c r="D203" s="99" t="s">
        <v>35</v>
      </c>
      <c r="E203" s="64">
        <f>'Приложение 5'!H86</f>
        <v>28300</v>
      </c>
      <c r="F203" s="65">
        <f>'Приложение 5'!I87</f>
        <v>3470</v>
      </c>
      <c r="G203" s="65">
        <f>'Приложение 5'!J87</f>
        <v>628.38560000000007</v>
      </c>
      <c r="H203" s="74">
        <f>'Приложение 5'!K88</f>
        <v>0</v>
      </c>
      <c r="I203" s="75">
        <f>'Приложение 5'!L88</f>
        <v>0</v>
      </c>
      <c r="J203" s="64">
        <f>'Приложение 5'!M88</f>
        <v>0</v>
      </c>
      <c r="K203" s="65">
        <f>'Приложение 5'!N88</f>
        <v>0</v>
      </c>
      <c r="L203" s="65">
        <f>'Приложение 5'!O88</f>
        <v>0</v>
      </c>
      <c r="M203" s="74">
        <f>SUM(E203:I203)</f>
        <v>32398.385600000001</v>
      </c>
    </row>
    <row r="204" spans="1:13" ht="47.1" customHeight="1" x14ac:dyDescent="0.3">
      <c r="A204" s="433"/>
      <c r="B204" s="547"/>
      <c r="C204" s="32" t="s">
        <v>95</v>
      </c>
      <c r="D204" s="99"/>
      <c r="E204" s="64">
        <v>0</v>
      </c>
      <c r="F204" s="65">
        <v>0</v>
      </c>
      <c r="G204" s="65">
        <v>0</v>
      </c>
      <c r="H204" s="65">
        <v>0</v>
      </c>
      <c r="I204" s="64">
        <v>0</v>
      </c>
      <c r="J204" s="64">
        <v>0</v>
      </c>
      <c r="K204" s="64">
        <v>0</v>
      </c>
      <c r="L204" s="64">
        <v>0</v>
      </c>
      <c r="M204" s="65">
        <f>SUM(E204:I204)</f>
        <v>0</v>
      </c>
    </row>
    <row r="205" spans="1:13" ht="63" customHeight="1" x14ac:dyDescent="0.3">
      <c r="A205" s="433"/>
      <c r="B205" s="547"/>
      <c r="C205" s="30" t="s">
        <v>96</v>
      </c>
      <c r="D205" s="99"/>
      <c r="E205" s="65">
        <v>0</v>
      </c>
      <c r="F205" s="65">
        <v>0</v>
      </c>
      <c r="G205" s="65">
        <v>0</v>
      </c>
      <c r="H205" s="65">
        <v>0</v>
      </c>
      <c r="I205" s="64">
        <v>0</v>
      </c>
      <c r="J205" s="64">
        <v>0</v>
      </c>
      <c r="K205" s="64">
        <v>0</v>
      </c>
      <c r="L205" s="64">
        <v>0</v>
      </c>
      <c r="M205" s="65">
        <v>0</v>
      </c>
    </row>
    <row r="206" spans="1:13" ht="63.95" customHeight="1" x14ac:dyDescent="0.3">
      <c r="A206" s="433"/>
      <c r="B206" s="547"/>
      <c r="C206" s="30" t="s">
        <v>97</v>
      </c>
      <c r="D206" s="99"/>
      <c r="E206" s="65">
        <v>0</v>
      </c>
      <c r="F206" s="65">
        <v>0</v>
      </c>
      <c r="G206" s="65">
        <v>0</v>
      </c>
      <c r="H206" s="65">
        <v>0</v>
      </c>
      <c r="I206" s="64">
        <v>0</v>
      </c>
      <c r="J206" s="64">
        <v>0</v>
      </c>
      <c r="K206" s="64">
        <v>0</v>
      </c>
      <c r="L206" s="64">
        <v>0</v>
      </c>
      <c r="M206" s="65">
        <v>0</v>
      </c>
    </row>
    <row r="207" spans="1:13" ht="30" x14ac:dyDescent="0.3">
      <c r="A207" s="433"/>
      <c r="B207" s="547"/>
      <c r="C207" s="101" t="s">
        <v>98</v>
      </c>
      <c r="D207" s="99"/>
      <c r="E207" s="65">
        <v>0</v>
      </c>
      <c r="F207" s="65">
        <v>0</v>
      </c>
      <c r="G207" s="65">
        <v>0</v>
      </c>
      <c r="H207" s="65">
        <v>0</v>
      </c>
      <c r="I207" s="64">
        <v>0</v>
      </c>
      <c r="J207" s="64">
        <v>0</v>
      </c>
      <c r="K207" s="64">
        <v>0</v>
      </c>
      <c r="L207" s="64">
        <v>0</v>
      </c>
      <c r="M207" s="65">
        <v>0</v>
      </c>
    </row>
    <row r="208" spans="1:13" ht="18.75" customHeight="1" x14ac:dyDescent="0.3">
      <c r="A208" s="433" t="s">
        <v>203</v>
      </c>
      <c r="B208" s="554" t="s">
        <v>331</v>
      </c>
      <c r="C208" s="29" t="s">
        <v>27</v>
      </c>
      <c r="D208" s="103">
        <v>755</v>
      </c>
      <c r="E208" s="62">
        <f t="shared" ref="E208:L208" si="33">SUM(E209:E214)</f>
        <v>1300</v>
      </c>
      <c r="F208" s="63">
        <f t="shared" si="33"/>
        <v>3000</v>
      </c>
      <c r="G208" s="63">
        <f t="shared" si="33"/>
        <v>1125.05</v>
      </c>
      <c r="H208" s="63">
        <f t="shared" si="33"/>
        <v>0</v>
      </c>
      <c r="I208" s="62">
        <f t="shared" si="33"/>
        <v>0</v>
      </c>
      <c r="J208" s="62">
        <f t="shared" si="33"/>
        <v>0</v>
      </c>
      <c r="K208" s="63">
        <f t="shared" si="33"/>
        <v>0</v>
      </c>
      <c r="L208" s="63">
        <f t="shared" si="33"/>
        <v>0</v>
      </c>
      <c r="M208" s="63">
        <f>SUM(E208:I208)</f>
        <v>5425.05</v>
      </c>
    </row>
    <row r="209" spans="1:13" ht="30" customHeight="1" x14ac:dyDescent="0.3">
      <c r="A209" s="433"/>
      <c r="B209" s="555"/>
      <c r="C209" s="30" t="s">
        <v>93</v>
      </c>
      <c r="D209" s="103"/>
      <c r="E209" s="68">
        <v>0</v>
      </c>
      <c r="F209" s="65">
        <v>0</v>
      </c>
      <c r="G209" s="65">
        <v>0</v>
      </c>
      <c r="H209" s="65">
        <v>0</v>
      </c>
      <c r="I209" s="64">
        <v>0</v>
      </c>
      <c r="J209" s="65">
        <v>0</v>
      </c>
      <c r="K209" s="64">
        <v>0</v>
      </c>
      <c r="L209" s="65">
        <v>0</v>
      </c>
      <c r="M209" s="65">
        <f>SUM(E209:I209)</f>
        <v>0</v>
      </c>
    </row>
    <row r="210" spans="1:13" ht="18.75" customHeight="1" x14ac:dyDescent="0.3">
      <c r="A210" s="433"/>
      <c r="B210" s="555"/>
      <c r="C210" s="31" t="s">
        <v>94</v>
      </c>
      <c r="D210" s="103">
        <v>755</v>
      </c>
      <c r="E210" s="64">
        <f>'Приложение 5'!H89</f>
        <v>1300</v>
      </c>
      <c r="F210" s="65">
        <f>'Приложение 5'!I90</f>
        <v>3000</v>
      </c>
      <c r="G210" s="65">
        <f>'Приложение 5'!J90</f>
        <v>1125.05</v>
      </c>
      <c r="H210" s="65">
        <f>'Приложение 5'!K91</f>
        <v>0</v>
      </c>
      <c r="I210" s="64">
        <f>'Приложение 5'!L91</f>
        <v>0</v>
      </c>
      <c r="J210" s="64">
        <f>'Приложение 5'!M91</f>
        <v>0</v>
      </c>
      <c r="K210" s="65">
        <f>'Приложение 5'!N91</f>
        <v>0</v>
      </c>
      <c r="L210" s="65">
        <f>'Приложение 5'!O91</f>
        <v>0</v>
      </c>
      <c r="M210" s="74">
        <f>SUM(E210:I210)</f>
        <v>5425.05</v>
      </c>
    </row>
    <row r="211" spans="1:13" ht="47.1" customHeight="1" x14ac:dyDescent="0.3">
      <c r="A211" s="433"/>
      <c r="B211" s="555"/>
      <c r="C211" s="32" t="s">
        <v>95</v>
      </c>
      <c r="D211" s="103"/>
      <c r="E211" s="64">
        <v>0</v>
      </c>
      <c r="F211" s="65">
        <v>0</v>
      </c>
      <c r="G211" s="65">
        <v>0</v>
      </c>
      <c r="H211" s="65">
        <v>0</v>
      </c>
      <c r="I211" s="64">
        <v>0</v>
      </c>
      <c r="J211" s="64">
        <v>0</v>
      </c>
      <c r="K211" s="64">
        <v>0</v>
      </c>
      <c r="L211" s="64">
        <v>0</v>
      </c>
      <c r="M211" s="65">
        <f>SUM(E211:I211)</f>
        <v>0</v>
      </c>
    </row>
    <row r="212" spans="1:13" ht="63" customHeight="1" x14ac:dyDescent="0.3">
      <c r="A212" s="433"/>
      <c r="B212" s="555"/>
      <c r="C212" s="30" t="s">
        <v>96</v>
      </c>
      <c r="D212" s="103"/>
      <c r="E212" s="65">
        <v>0</v>
      </c>
      <c r="F212" s="65">
        <v>0</v>
      </c>
      <c r="G212" s="65">
        <v>0</v>
      </c>
      <c r="H212" s="65">
        <v>0</v>
      </c>
      <c r="I212" s="64">
        <v>0</v>
      </c>
      <c r="J212" s="64">
        <v>0</v>
      </c>
      <c r="K212" s="64">
        <v>0</v>
      </c>
      <c r="L212" s="64">
        <v>0</v>
      </c>
      <c r="M212" s="65">
        <v>0</v>
      </c>
    </row>
    <row r="213" spans="1:13" ht="63.95" customHeight="1" x14ac:dyDescent="0.3">
      <c r="A213" s="433"/>
      <c r="B213" s="555"/>
      <c r="C213" s="30" t="s">
        <v>97</v>
      </c>
      <c r="D213" s="103"/>
      <c r="E213" s="65">
        <v>0</v>
      </c>
      <c r="F213" s="65">
        <v>0</v>
      </c>
      <c r="G213" s="65">
        <v>0</v>
      </c>
      <c r="H213" s="65">
        <v>0</v>
      </c>
      <c r="I213" s="64">
        <v>0</v>
      </c>
      <c r="J213" s="64">
        <v>0</v>
      </c>
      <c r="K213" s="64">
        <v>0</v>
      </c>
      <c r="L213" s="64">
        <v>0</v>
      </c>
      <c r="M213" s="65">
        <v>0</v>
      </c>
    </row>
    <row r="214" spans="1:13" ht="30" x14ac:dyDescent="0.3">
      <c r="A214" s="433"/>
      <c r="B214" s="556"/>
      <c r="C214" s="101" t="s">
        <v>98</v>
      </c>
      <c r="D214" s="103"/>
      <c r="E214" s="65">
        <v>0</v>
      </c>
      <c r="F214" s="65">
        <v>0</v>
      </c>
      <c r="G214" s="65">
        <v>0</v>
      </c>
      <c r="H214" s="65">
        <v>0</v>
      </c>
      <c r="I214" s="64">
        <v>0</v>
      </c>
      <c r="J214" s="64">
        <v>0</v>
      </c>
      <c r="K214" s="64">
        <v>0</v>
      </c>
      <c r="L214" s="64">
        <v>0</v>
      </c>
      <c r="M214" s="65">
        <v>0</v>
      </c>
    </row>
    <row r="215" spans="1:13" ht="18.75" customHeight="1" x14ac:dyDescent="0.3">
      <c r="A215" s="557" t="s">
        <v>317</v>
      </c>
      <c r="B215" s="547" t="s">
        <v>369</v>
      </c>
      <c r="C215" s="29" t="s">
        <v>27</v>
      </c>
      <c r="D215" s="104" t="s">
        <v>117</v>
      </c>
      <c r="E215" s="62">
        <f t="shared" ref="E215:L215" si="34">SUM(E216:E221)</f>
        <v>3000</v>
      </c>
      <c r="F215" s="63">
        <f t="shared" si="34"/>
        <v>3700</v>
      </c>
      <c r="G215" s="63">
        <f t="shared" si="34"/>
        <v>1655.48</v>
      </c>
      <c r="H215" s="63">
        <f t="shared" si="34"/>
        <v>0</v>
      </c>
      <c r="I215" s="62">
        <f t="shared" si="34"/>
        <v>0</v>
      </c>
      <c r="J215" s="62">
        <f t="shared" si="34"/>
        <v>0</v>
      </c>
      <c r="K215" s="63">
        <f t="shared" si="34"/>
        <v>0</v>
      </c>
      <c r="L215" s="63">
        <f t="shared" si="34"/>
        <v>0</v>
      </c>
      <c r="M215" s="63">
        <f>SUM(E215:L215)</f>
        <v>8355.48</v>
      </c>
    </row>
    <row r="216" spans="1:13" ht="30" customHeight="1" x14ac:dyDescent="0.3">
      <c r="A216" s="558"/>
      <c r="B216" s="547"/>
      <c r="C216" s="30" t="s">
        <v>93</v>
      </c>
      <c r="D216" s="104"/>
      <c r="E216" s="68">
        <f t="shared" ref="E216:L216" si="35">E223+E230</f>
        <v>0</v>
      </c>
      <c r="F216" s="85">
        <f t="shared" si="35"/>
        <v>0</v>
      </c>
      <c r="G216" s="85">
        <f t="shared" si="35"/>
        <v>0</v>
      </c>
      <c r="H216" s="65">
        <f t="shared" si="35"/>
        <v>0</v>
      </c>
      <c r="I216" s="64">
        <f t="shared" si="35"/>
        <v>0</v>
      </c>
      <c r="J216" s="65">
        <f t="shared" si="35"/>
        <v>0</v>
      </c>
      <c r="K216" s="64">
        <f t="shared" si="35"/>
        <v>0</v>
      </c>
      <c r="L216" s="65">
        <f t="shared" si="35"/>
        <v>0</v>
      </c>
      <c r="M216" s="65">
        <f>SUM(E216:I216)</f>
        <v>0</v>
      </c>
    </row>
    <row r="217" spans="1:13" ht="18.75" customHeight="1" x14ac:dyDescent="0.3">
      <c r="A217" s="558"/>
      <c r="B217" s="547"/>
      <c r="C217" s="31" t="s">
        <v>94</v>
      </c>
      <c r="D217" s="104" t="s">
        <v>117</v>
      </c>
      <c r="E217" s="68">
        <f>'Приложение 5'!H93+'Приложение 5'!H95</f>
        <v>3000</v>
      </c>
      <c r="F217" s="68">
        <f>'Приложение 5'!I93+'Приложение 5'!I95</f>
        <v>3700</v>
      </c>
      <c r="G217" s="68">
        <f>'Приложение 5'!J93+'Приложение 5'!J95</f>
        <v>1655.48</v>
      </c>
      <c r="H217" s="65">
        <f>'Приложение 5'!K92</f>
        <v>0</v>
      </c>
      <c r="I217" s="64">
        <f>'Приложение 5'!L92</f>
        <v>0</v>
      </c>
      <c r="J217" s="68">
        <f>'Приложение 5'!M92</f>
        <v>0</v>
      </c>
      <c r="K217" s="85">
        <f>'Приложение 5'!N92</f>
        <v>0</v>
      </c>
      <c r="L217" s="85">
        <f>'Приложение 5'!O92</f>
        <v>0</v>
      </c>
      <c r="M217" s="74">
        <f>SUM(E217:I217)</f>
        <v>8355.48</v>
      </c>
    </row>
    <row r="218" spans="1:13" ht="47.1" customHeight="1" x14ac:dyDescent="0.3">
      <c r="A218" s="558"/>
      <c r="B218" s="547"/>
      <c r="C218" s="32" t="s">
        <v>95</v>
      </c>
      <c r="D218" s="102"/>
      <c r="E218" s="68">
        <f t="shared" ref="E218:I221" si="36">E225+E232</f>
        <v>0</v>
      </c>
      <c r="F218" s="85">
        <f t="shared" si="36"/>
        <v>0</v>
      </c>
      <c r="G218" s="85">
        <f t="shared" si="36"/>
        <v>0</v>
      </c>
      <c r="H218" s="65">
        <f t="shared" si="36"/>
        <v>0</v>
      </c>
      <c r="I218" s="64">
        <f>I225+I232</f>
        <v>0</v>
      </c>
      <c r="J218" s="64">
        <f>J225+J232</f>
        <v>0</v>
      </c>
      <c r="K218" s="64">
        <f>K225+K232</f>
        <v>0</v>
      </c>
      <c r="L218" s="64">
        <f>L225+L232</f>
        <v>0</v>
      </c>
      <c r="M218" s="65">
        <f>SUM(E218:I218)</f>
        <v>0</v>
      </c>
    </row>
    <row r="219" spans="1:13" ht="63" customHeight="1" x14ac:dyDescent="0.3">
      <c r="A219" s="558"/>
      <c r="B219" s="547"/>
      <c r="C219" s="30" t="s">
        <v>96</v>
      </c>
      <c r="D219" s="105"/>
      <c r="E219" s="77">
        <f t="shared" si="36"/>
        <v>0</v>
      </c>
      <c r="F219" s="77">
        <f t="shared" si="36"/>
        <v>0</v>
      </c>
      <c r="G219" s="77">
        <f t="shared" si="36"/>
        <v>0</v>
      </c>
      <c r="H219" s="65">
        <f t="shared" si="36"/>
        <v>0</v>
      </c>
      <c r="I219" s="64">
        <f t="shared" si="36"/>
        <v>0</v>
      </c>
      <c r="J219" s="64">
        <f t="shared" ref="J219:M221" si="37">J226+J233</f>
        <v>0</v>
      </c>
      <c r="K219" s="64">
        <f t="shared" si="37"/>
        <v>0</v>
      </c>
      <c r="L219" s="64">
        <f t="shared" si="37"/>
        <v>0</v>
      </c>
      <c r="M219" s="65">
        <f t="shared" si="37"/>
        <v>0</v>
      </c>
    </row>
    <row r="220" spans="1:13" ht="63.95" customHeight="1" x14ac:dyDescent="0.3">
      <c r="A220" s="558"/>
      <c r="B220" s="547"/>
      <c r="C220" s="30" t="s">
        <v>97</v>
      </c>
      <c r="D220" s="105"/>
      <c r="E220" s="77">
        <f t="shared" si="36"/>
        <v>0</v>
      </c>
      <c r="F220" s="77">
        <f t="shared" si="36"/>
        <v>0</v>
      </c>
      <c r="G220" s="77">
        <f t="shared" si="36"/>
        <v>0</v>
      </c>
      <c r="H220" s="65">
        <f t="shared" si="36"/>
        <v>0</v>
      </c>
      <c r="I220" s="64">
        <f t="shared" si="36"/>
        <v>0</v>
      </c>
      <c r="J220" s="64">
        <f t="shared" si="37"/>
        <v>0</v>
      </c>
      <c r="K220" s="64">
        <f t="shared" si="37"/>
        <v>0</v>
      </c>
      <c r="L220" s="64">
        <f t="shared" si="37"/>
        <v>0</v>
      </c>
      <c r="M220" s="65">
        <f t="shared" si="37"/>
        <v>0</v>
      </c>
    </row>
    <row r="221" spans="1:13" ht="30" x14ac:dyDescent="0.3">
      <c r="A221" s="559"/>
      <c r="B221" s="547"/>
      <c r="C221" s="101" t="s">
        <v>98</v>
      </c>
      <c r="D221" s="105"/>
      <c r="E221" s="77">
        <f t="shared" si="36"/>
        <v>0</v>
      </c>
      <c r="F221" s="77">
        <f t="shared" si="36"/>
        <v>0</v>
      </c>
      <c r="G221" s="77">
        <f t="shared" si="36"/>
        <v>0</v>
      </c>
      <c r="H221" s="65">
        <f t="shared" si="36"/>
        <v>0</v>
      </c>
      <c r="I221" s="64">
        <f t="shared" si="36"/>
        <v>0</v>
      </c>
      <c r="J221" s="64">
        <f t="shared" si="37"/>
        <v>0</v>
      </c>
      <c r="K221" s="64">
        <f t="shared" si="37"/>
        <v>0</v>
      </c>
      <c r="L221" s="64">
        <f t="shared" si="37"/>
        <v>0</v>
      </c>
      <c r="M221" s="65">
        <f t="shared" si="37"/>
        <v>0</v>
      </c>
    </row>
    <row r="222" spans="1:13" ht="18.75" customHeight="1" x14ac:dyDescent="0.3">
      <c r="A222" s="433" t="s">
        <v>204</v>
      </c>
      <c r="B222" s="547" t="s">
        <v>61</v>
      </c>
      <c r="C222" s="29" t="s">
        <v>27</v>
      </c>
      <c r="D222" s="99" t="s">
        <v>35</v>
      </c>
      <c r="E222" s="62">
        <f t="shared" ref="E222:L222" si="38">SUM(E223:E228)</f>
        <v>3000</v>
      </c>
      <c r="F222" s="63">
        <f t="shared" si="38"/>
        <v>2400</v>
      </c>
      <c r="G222" s="63">
        <f t="shared" si="38"/>
        <v>1655.48</v>
      </c>
      <c r="H222" s="63">
        <f t="shared" si="38"/>
        <v>0</v>
      </c>
      <c r="I222" s="62">
        <f t="shared" si="38"/>
        <v>0</v>
      </c>
      <c r="J222" s="62">
        <f t="shared" si="38"/>
        <v>0</v>
      </c>
      <c r="K222" s="63">
        <f t="shared" si="38"/>
        <v>0</v>
      </c>
      <c r="L222" s="63">
        <f t="shared" si="38"/>
        <v>0</v>
      </c>
      <c r="M222" s="63">
        <f>SUM(E222:I222)</f>
        <v>7055.48</v>
      </c>
    </row>
    <row r="223" spans="1:13" ht="30" customHeight="1" x14ac:dyDescent="0.3">
      <c r="A223" s="433"/>
      <c r="B223" s="547"/>
      <c r="C223" s="30" t="s">
        <v>93</v>
      </c>
      <c r="D223" s="99"/>
      <c r="E223" s="68">
        <v>0</v>
      </c>
      <c r="F223" s="65">
        <v>0</v>
      </c>
      <c r="G223" s="65">
        <v>0</v>
      </c>
      <c r="H223" s="65">
        <v>0</v>
      </c>
      <c r="I223" s="64">
        <v>0</v>
      </c>
      <c r="J223" s="65">
        <v>0</v>
      </c>
      <c r="K223" s="64">
        <v>0</v>
      </c>
      <c r="L223" s="65">
        <v>0</v>
      </c>
      <c r="M223" s="65">
        <f>SUM(E223:I223)</f>
        <v>0</v>
      </c>
    </row>
    <row r="224" spans="1:13" ht="18.75" customHeight="1" x14ac:dyDescent="0.3">
      <c r="A224" s="433"/>
      <c r="B224" s="547"/>
      <c r="C224" s="31" t="s">
        <v>94</v>
      </c>
      <c r="D224" s="99" t="s">
        <v>35</v>
      </c>
      <c r="E224" s="64">
        <f>'Приложение 5'!H96</f>
        <v>3000</v>
      </c>
      <c r="F224" s="65">
        <f>'Приложение 5'!I97</f>
        <v>2400</v>
      </c>
      <c r="G224" s="65">
        <f>'Приложение 5'!J97</f>
        <v>1655.48</v>
      </c>
      <c r="H224" s="65">
        <f>'Приложение 5'!K98</f>
        <v>0</v>
      </c>
      <c r="I224" s="64">
        <f>'Приложение 5'!L98</f>
        <v>0</v>
      </c>
      <c r="J224" s="64">
        <f>'Приложение 5'!M98</f>
        <v>0</v>
      </c>
      <c r="K224" s="65">
        <f>'Приложение 5'!N98</f>
        <v>0</v>
      </c>
      <c r="L224" s="65">
        <f>'Приложение 5'!O98</f>
        <v>0</v>
      </c>
      <c r="M224" s="74">
        <f>SUM(E224:I224)</f>
        <v>7055.48</v>
      </c>
    </row>
    <row r="225" spans="1:13" ht="47.1" customHeight="1" x14ac:dyDescent="0.3">
      <c r="A225" s="433"/>
      <c r="B225" s="547"/>
      <c r="C225" s="32" t="s">
        <v>95</v>
      </c>
      <c r="D225" s="99"/>
      <c r="E225" s="64">
        <v>0</v>
      </c>
      <c r="F225" s="65">
        <v>0</v>
      </c>
      <c r="G225" s="65">
        <v>0</v>
      </c>
      <c r="H225" s="65">
        <v>0</v>
      </c>
      <c r="I225" s="64">
        <v>0</v>
      </c>
      <c r="J225" s="64">
        <v>0</v>
      </c>
      <c r="K225" s="64">
        <v>0</v>
      </c>
      <c r="L225" s="64">
        <v>0</v>
      </c>
      <c r="M225" s="65">
        <f>SUM(E225:I225)</f>
        <v>0</v>
      </c>
    </row>
    <row r="226" spans="1:13" ht="63" customHeight="1" x14ac:dyDescent="0.3">
      <c r="A226" s="433"/>
      <c r="B226" s="547"/>
      <c r="C226" s="30" t="s">
        <v>96</v>
      </c>
      <c r="D226" s="99"/>
      <c r="E226" s="65">
        <v>0</v>
      </c>
      <c r="F226" s="65">
        <v>0</v>
      </c>
      <c r="G226" s="65">
        <v>0</v>
      </c>
      <c r="H226" s="65">
        <v>0</v>
      </c>
      <c r="I226" s="64">
        <v>0</v>
      </c>
      <c r="J226" s="64">
        <v>0</v>
      </c>
      <c r="K226" s="64">
        <v>0</v>
      </c>
      <c r="L226" s="64">
        <v>0</v>
      </c>
      <c r="M226" s="65">
        <v>0</v>
      </c>
    </row>
    <row r="227" spans="1:13" ht="63.95" customHeight="1" x14ac:dyDescent="0.3">
      <c r="A227" s="433"/>
      <c r="B227" s="547"/>
      <c r="C227" s="30" t="s">
        <v>97</v>
      </c>
      <c r="D227" s="99"/>
      <c r="E227" s="65">
        <v>0</v>
      </c>
      <c r="F227" s="65">
        <v>0</v>
      </c>
      <c r="G227" s="65">
        <v>0</v>
      </c>
      <c r="H227" s="65">
        <v>0</v>
      </c>
      <c r="I227" s="64">
        <v>0</v>
      </c>
      <c r="J227" s="64">
        <v>0</v>
      </c>
      <c r="K227" s="64">
        <v>0</v>
      </c>
      <c r="L227" s="64">
        <v>0</v>
      </c>
      <c r="M227" s="65">
        <v>0</v>
      </c>
    </row>
    <row r="228" spans="1:13" ht="30" x14ac:dyDescent="0.3">
      <c r="A228" s="433"/>
      <c r="B228" s="547"/>
      <c r="C228" s="101" t="s">
        <v>98</v>
      </c>
      <c r="D228" s="99"/>
      <c r="E228" s="65">
        <v>0</v>
      </c>
      <c r="F228" s="65">
        <v>0</v>
      </c>
      <c r="G228" s="65">
        <v>0</v>
      </c>
      <c r="H228" s="65">
        <v>0</v>
      </c>
      <c r="I228" s="64">
        <v>0</v>
      </c>
      <c r="J228" s="64">
        <v>0</v>
      </c>
      <c r="K228" s="64">
        <v>0</v>
      </c>
      <c r="L228" s="64">
        <v>0</v>
      </c>
      <c r="M228" s="65">
        <v>0</v>
      </c>
    </row>
    <row r="229" spans="1:13" ht="18.75" customHeight="1" x14ac:dyDescent="0.3">
      <c r="A229" s="433" t="s">
        <v>205</v>
      </c>
      <c r="B229" s="547" t="s">
        <v>326</v>
      </c>
      <c r="C229" s="29" t="s">
        <v>27</v>
      </c>
      <c r="D229" s="106">
        <v>760</v>
      </c>
      <c r="E229" s="62">
        <f t="shared" ref="E229:L229" si="39">SUM(E230:E235)</f>
        <v>0</v>
      </c>
      <c r="F229" s="63">
        <f t="shared" si="39"/>
        <v>1300</v>
      </c>
      <c r="G229" s="63">
        <f t="shared" si="39"/>
        <v>0</v>
      </c>
      <c r="H229" s="63">
        <f t="shared" si="39"/>
        <v>0</v>
      </c>
      <c r="I229" s="62">
        <f t="shared" si="39"/>
        <v>0</v>
      </c>
      <c r="J229" s="62">
        <f t="shared" si="39"/>
        <v>0</v>
      </c>
      <c r="K229" s="63">
        <f t="shared" si="39"/>
        <v>0</v>
      </c>
      <c r="L229" s="63">
        <f t="shared" si="39"/>
        <v>0</v>
      </c>
      <c r="M229" s="63">
        <f>SUM(E229:I229)</f>
        <v>1300</v>
      </c>
    </row>
    <row r="230" spans="1:13" ht="30" customHeight="1" x14ac:dyDescent="0.3">
      <c r="A230" s="433"/>
      <c r="B230" s="547"/>
      <c r="C230" s="30" t="s">
        <v>93</v>
      </c>
      <c r="D230" s="106"/>
      <c r="E230" s="68">
        <v>0</v>
      </c>
      <c r="F230" s="65">
        <v>0</v>
      </c>
      <c r="G230" s="65">
        <v>0</v>
      </c>
      <c r="H230" s="65">
        <v>0</v>
      </c>
      <c r="I230" s="64">
        <v>0</v>
      </c>
      <c r="J230" s="65">
        <v>0</v>
      </c>
      <c r="K230" s="64">
        <v>0</v>
      </c>
      <c r="L230" s="65">
        <v>0</v>
      </c>
      <c r="M230" s="65">
        <f>SUM(E230:I230)</f>
        <v>0</v>
      </c>
    </row>
    <row r="231" spans="1:13" ht="18.75" customHeight="1" x14ac:dyDescent="0.3">
      <c r="A231" s="433"/>
      <c r="B231" s="547"/>
      <c r="C231" s="31" t="s">
        <v>94</v>
      </c>
      <c r="D231" s="106">
        <v>760</v>
      </c>
      <c r="E231" s="64">
        <f>'Приложение 5'!H99</f>
        <v>0</v>
      </c>
      <c r="F231" s="65">
        <f>'Приложение 5'!I99</f>
        <v>1300</v>
      </c>
      <c r="G231" s="65">
        <f>'Приложение 5'!J99</f>
        <v>0</v>
      </c>
      <c r="H231" s="65">
        <f>'Приложение 5'!K99</f>
        <v>0</v>
      </c>
      <c r="I231" s="64">
        <f>'Приложение 5'!L99</f>
        <v>0</v>
      </c>
      <c r="J231" s="64">
        <f>'Приложение 5'!M99</f>
        <v>0</v>
      </c>
      <c r="K231" s="65">
        <f>'Приложение 5'!N99</f>
        <v>0</v>
      </c>
      <c r="L231" s="65">
        <f>'Приложение 5'!O99</f>
        <v>0</v>
      </c>
      <c r="M231" s="74">
        <f>SUM(E231:I231)</f>
        <v>1300</v>
      </c>
    </row>
    <row r="232" spans="1:13" ht="47.1" customHeight="1" x14ac:dyDescent="0.3">
      <c r="A232" s="433"/>
      <c r="B232" s="547"/>
      <c r="C232" s="32" t="s">
        <v>95</v>
      </c>
      <c r="D232" s="106"/>
      <c r="E232" s="64">
        <v>0</v>
      </c>
      <c r="F232" s="65">
        <v>0</v>
      </c>
      <c r="G232" s="65">
        <v>0</v>
      </c>
      <c r="H232" s="65">
        <v>0</v>
      </c>
      <c r="I232" s="64">
        <v>0</v>
      </c>
      <c r="J232" s="64">
        <v>0</v>
      </c>
      <c r="K232" s="64">
        <v>0</v>
      </c>
      <c r="L232" s="64">
        <v>0</v>
      </c>
      <c r="M232" s="65">
        <f>SUM(E232:I232)</f>
        <v>0</v>
      </c>
    </row>
    <row r="233" spans="1:13" ht="63" customHeight="1" x14ac:dyDescent="0.3">
      <c r="A233" s="433"/>
      <c r="B233" s="547"/>
      <c r="C233" s="30" t="s">
        <v>96</v>
      </c>
      <c r="D233" s="106"/>
      <c r="E233" s="65">
        <v>0</v>
      </c>
      <c r="F233" s="65">
        <v>0</v>
      </c>
      <c r="G233" s="65">
        <v>0</v>
      </c>
      <c r="H233" s="65">
        <v>0</v>
      </c>
      <c r="I233" s="64">
        <v>0</v>
      </c>
      <c r="J233" s="64">
        <v>0</v>
      </c>
      <c r="K233" s="64">
        <v>0</v>
      </c>
      <c r="L233" s="64">
        <v>0</v>
      </c>
      <c r="M233" s="65">
        <v>0</v>
      </c>
    </row>
    <row r="234" spans="1:13" ht="63.95" customHeight="1" x14ac:dyDescent="0.3">
      <c r="A234" s="433"/>
      <c r="B234" s="547"/>
      <c r="C234" s="30" t="s">
        <v>97</v>
      </c>
      <c r="D234" s="106"/>
      <c r="E234" s="65">
        <v>0</v>
      </c>
      <c r="F234" s="65">
        <v>0</v>
      </c>
      <c r="G234" s="65">
        <v>0</v>
      </c>
      <c r="H234" s="65">
        <v>0</v>
      </c>
      <c r="I234" s="64">
        <v>0</v>
      </c>
      <c r="J234" s="64">
        <v>0</v>
      </c>
      <c r="K234" s="64">
        <v>0</v>
      </c>
      <c r="L234" s="64">
        <v>0</v>
      </c>
      <c r="M234" s="65">
        <v>0</v>
      </c>
    </row>
    <row r="235" spans="1:13" ht="30" x14ac:dyDescent="0.3">
      <c r="A235" s="433"/>
      <c r="B235" s="547"/>
      <c r="C235" s="101" t="s">
        <v>98</v>
      </c>
      <c r="D235" s="106"/>
      <c r="E235" s="65">
        <v>0</v>
      </c>
      <c r="F235" s="65">
        <v>0</v>
      </c>
      <c r="G235" s="65">
        <v>0</v>
      </c>
      <c r="H235" s="65">
        <v>0</v>
      </c>
      <c r="I235" s="64">
        <v>0</v>
      </c>
      <c r="J235" s="64">
        <v>0</v>
      </c>
      <c r="K235" s="64">
        <v>0</v>
      </c>
      <c r="L235" s="64">
        <v>0</v>
      </c>
      <c r="M235" s="65">
        <v>0</v>
      </c>
    </row>
    <row r="236" spans="1:13" ht="18.75" customHeight="1" x14ac:dyDescent="0.3">
      <c r="A236" s="548" t="s">
        <v>25</v>
      </c>
      <c r="B236" s="543" t="s">
        <v>140</v>
      </c>
      <c r="C236" s="58" t="s">
        <v>27</v>
      </c>
      <c r="D236" s="95"/>
      <c r="E236" s="62">
        <f t="shared" ref="E236:L236" si="40">SUM(E237:E242)</f>
        <v>69041</v>
      </c>
      <c r="F236" s="62">
        <f t="shared" si="40"/>
        <v>39658</v>
      </c>
      <c r="G236" s="62">
        <f t="shared" si="40"/>
        <v>35959.5</v>
      </c>
      <c r="H236" s="66">
        <f t="shared" si="40"/>
        <v>8429.73</v>
      </c>
      <c r="I236" s="67">
        <f t="shared" si="40"/>
        <v>6955</v>
      </c>
      <c r="J236" s="62">
        <f t="shared" si="40"/>
        <v>6955</v>
      </c>
      <c r="K236" s="62">
        <f t="shared" si="40"/>
        <v>6955</v>
      </c>
      <c r="L236" s="62">
        <f t="shared" si="40"/>
        <v>6955</v>
      </c>
      <c r="M236" s="63">
        <f>SUM(E236:L236)</f>
        <v>180908.23</v>
      </c>
    </row>
    <row r="237" spans="1:13" ht="30" customHeight="1" x14ac:dyDescent="0.3">
      <c r="A237" s="481"/>
      <c r="B237" s="413"/>
      <c r="C237" s="59" t="s">
        <v>93</v>
      </c>
      <c r="D237" s="96"/>
      <c r="E237" s="68">
        <f t="shared" ref="E237:L237" si="41">E251+E258+E300+E265+E272+E293+E328</f>
        <v>0</v>
      </c>
      <c r="F237" s="70">
        <f t="shared" si="41"/>
        <v>0</v>
      </c>
      <c r="G237" s="70">
        <f t="shared" si="41"/>
        <v>0</v>
      </c>
      <c r="H237" s="86">
        <f t="shared" si="41"/>
        <v>0</v>
      </c>
      <c r="I237" s="87">
        <f t="shared" si="41"/>
        <v>0</v>
      </c>
      <c r="J237" s="86">
        <f t="shared" si="41"/>
        <v>0</v>
      </c>
      <c r="K237" s="87">
        <f t="shared" si="41"/>
        <v>0</v>
      </c>
      <c r="L237" s="86">
        <f t="shared" si="41"/>
        <v>0</v>
      </c>
      <c r="M237" s="65">
        <f>SUM(E237:I237)</f>
        <v>0</v>
      </c>
    </row>
    <row r="238" spans="1:13" ht="18.75" customHeight="1" x14ac:dyDescent="0.3">
      <c r="A238" s="481"/>
      <c r="B238" s="413"/>
      <c r="C238" s="59" t="s">
        <v>94</v>
      </c>
      <c r="D238" s="96"/>
      <c r="E238" s="68">
        <f>'Приложение 5'!H100</f>
        <v>64910</v>
      </c>
      <c r="F238" s="70">
        <f>'Приложение 5'!I100</f>
        <v>35544</v>
      </c>
      <c r="G238" s="70">
        <f>'Приложение 5'!J100</f>
        <v>31845.5</v>
      </c>
      <c r="H238" s="86">
        <f>'Приложение 5'!K100</f>
        <v>8429.73</v>
      </c>
      <c r="I238" s="87">
        <f>'Приложение 5'!L100</f>
        <v>6955</v>
      </c>
      <c r="J238" s="68">
        <f>'Приложение 5'!M100</f>
        <v>6955</v>
      </c>
      <c r="K238" s="70">
        <f>'Приложение 5'!N100</f>
        <v>6955</v>
      </c>
      <c r="L238" s="70">
        <f>'Приложение 5'!O100</f>
        <v>6955</v>
      </c>
      <c r="M238" s="74">
        <f>SUM(E238:L238)</f>
        <v>168549.23</v>
      </c>
    </row>
    <row r="239" spans="1:13" ht="47.1" customHeight="1" x14ac:dyDescent="0.3">
      <c r="A239" s="481"/>
      <c r="B239" s="413"/>
      <c r="C239" s="59" t="s">
        <v>95</v>
      </c>
      <c r="D239" s="96"/>
      <c r="E239" s="68">
        <f t="shared" ref="E239:L240" si="42">E253+E260+E302+E267+E274+E295+E330</f>
        <v>4131</v>
      </c>
      <c r="F239" s="70">
        <f t="shared" si="42"/>
        <v>4114</v>
      </c>
      <c r="G239" s="70">
        <f t="shared" si="42"/>
        <v>4114</v>
      </c>
      <c r="H239" s="86">
        <f t="shared" si="42"/>
        <v>0</v>
      </c>
      <c r="I239" s="87">
        <f t="shared" si="42"/>
        <v>0</v>
      </c>
      <c r="J239" s="87">
        <f t="shared" si="42"/>
        <v>0</v>
      </c>
      <c r="K239" s="87">
        <f t="shared" si="42"/>
        <v>0</v>
      </c>
      <c r="L239" s="87">
        <f t="shared" si="42"/>
        <v>0</v>
      </c>
      <c r="M239" s="65">
        <f>SUM(E239:I239)</f>
        <v>12359</v>
      </c>
    </row>
    <row r="240" spans="1:13" ht="63" customHeight="1" x14ac:dyDescent="0.3">
      <c r="A240" s="481"/>
      <c r="B240" s="413"/>
      <c r="C240" s="60" t="s">
        <v>96</v>
      </c>
      <c r="D240" s="96"/>
      <c r="E240" s="68">
        <f t="shared" si="42"/>
        <v>0</v>
      </c>
      <c r="F240" s="70">
        <f t="shared" si="42"/>
        <v>0</v>
      </c>
      <c r="G240" s="70">
        <f t="shared" si="42"/>
        <v>0</v>
      </c>
      <c r="H240" s="86">
        <f t="shared" si="42"/>
        <v>0</v>
      </c>
      <c r="I240" s="87">
        <f t="shared" si="42"/>
        <v>0</v>
      </c>
      <c r="J240" s="87">
        <f t="shared" si="42"/>
        <v>0</v>
      </c>
      <c r="K240" s="87">
        <f t="shared" si="42"/>
        <v>0</v>
      </c>
      <c r="L240" s="87">
        <f t="shared" si="42"/>
        <v>0</v>
      </c>
      <c r="M240" s="86">
        <f>M254+M261+M303+M268+M275+M296+M331</f>
        <v>0</v>
      </c>
    </row>
    <row r="241" spans="1:13" ht="63.95" customHeight="1" x14ac:dyDescent="0.3">
      <c r="A241" s="481"/>
      <c r="B241" s="413"/>
      <c r="C241" s="59" t="s">
        <v>97</v>
      </c>
      <c r="D241" s="96"/>
      <c r="E241" s="68">
        <v>0</v>
      </c>
      <c r="F241" s="68">
        <v>0</v>
      </c>
      <c r="G241" s="68">
        <v>0</v>
      </c>
      <c r="H241" s="68">
        <v>0</v>
      </c>
      <c r="I241" s="68">
        <v>0</v>
      </c>
      <c r="J241" s="68">
        <v>0</v>
      </c>
      <c r="K241" s="68">
        <v>0</v>
      </c>
      <c r="L241" s="68">
        <v>0</v>
      </c>
      <c r="M241" s="86">
        <v>0</v>
      </c>
    </row>
    <row r="242" spans="1:13" ht="30" x14ac:dyDescent="0.3">
      <c r="A242" s="549"/>
      <c r="B242" s="544"/>
      <c r="C242" s="59" t="s">
        <v>98</v>
      </c>
      <c r="D242" s="96"/>
      <c r="E242" s="68">
        <f t="shared" ref="E242:M242" si="43">E255+E262+E304+E269+E276+E297+E332</f>
        <v>0</v>
      </c>
      <c r="F242" s="70">
        <f t="shared" si="43"/>
        <v>0</v>
      </c>
      <c r="G242" s="70">
        <f t="shared" si="43"/>
        <v>0</v>
      </c>
      <c r="H242" s="86">
        <f t="shared" si="43"/>
        <v>0</v>
      </c>
      <c r="I242" s="87">
        <f t="shared" si="43"/>
        <v>0</v>
      </c>
      <c r="J242" s="87">
        <f t="shared" si="43"/>
        <v>0</v>
      </c>
      <c r="K242" s="87">
        <f t="shared" si="43"/>
        <v>0</v>
      </c>
      <c r="L242" s="87">
        <f t="shared" si="43"/>
        <v>0</v>
      </c>
      <c r="M242" s="86">
        <f t="shared" si="43"/>
        <v>0</v>
      </c>
    </row>
    <row r="243" spans="1:13" ht="18.75" customHeight="1" x14ac:dyDescent="0.3">
      <c r="A243" s="548" t="s">
        <v>104</v>
      </c>
      <c r="B243" s="493" t="s">
        <v>370</v>
      </c>
      <c r="C243" s="58" t="s">
        <v>27</v>
      </c>
      <c r="D243" s="96">
        <v>759</v>
      </c>
      <c r="E243" s="88">
        <f>SUM(E244:E249)</f>
        <v>34931</v>
      </c>
      <c r="F243" s="88">
        <f t="shared" ref="F243:L243" si="44">SUM(F244:F249)</f>
        <v>32970</v>
      </c>
      <c r="G243" s="88">
        <f t="shared" si="44"/>
        <v>27170</v>
      </c>
      <c r="H243" s="88">
        <f t="shared" si="44"/>
        <v>103.73</v>
      </c>
      <c r="I243" s="88">
        <f t="shared" si="44"/>
        <v>0</v>
      </c>
      <c r="J243" s="88">
        <f t="shared" si="44"/>
        <v>0</v>
      </c>
      <c r="K243" s="88">
        <f t="shared" si="44"/>
        <v>0</v>
      </c>
      <c r="L243" s="88">
        <f t="shared" si="44"/>
        <v>0</v>
      </c>
      <c r="M243" s="90">
        <f>SUM(E243:L243)</f>
        <v>95174.73</v>
      </c>
    </row>
    <row r="244" spans="1:13" ht="30" customHeight="1" x14ac:dyDescent="0.3">
      <c r="A244" s="481"/>
      <c r="B244" s="393"/>
      <c r="C244" s="59" t="s">
        <v>93</v>
      </c>
      <c r="D244" s="96"/>
      <c r="E244" s="68">
        <v>0</v>
      </c>
      <c r="F244" s="68">
        <v>0</v>
      </c>
      <c r="G244" s="68">
        <v>0</v>
      </c>
      <c r="H244" s="68">
        <v>0</v>
      </c>
      <c r="I244" s="68">
        <v>0</v>
      </c>
      <c r="J244" s="68">
        <v>0</v>
      </c>
      <c r="K244" s="68">
        <v>0</v>
      </c>
      <c r="L244" s="68">
        <v>0</v>
      </c>
      <c r="M244" s="85">
        <v>0</v>
      </c>
    </row>
    <row r="245" spans="1:13" ht="18.75" customHeight="1" x14ac:dyDescent="0.3">
      <c r="A245" s="481"/>
      <c r="B245" s="393"/>
      <c r="C245" s="59" t="s">
        <v>94</v>
      </c>
      <c r="D245" s="96">
        <v>759</v>
      </c>
      <c r="E245" s="68">
        <f>'Приложение 5'!H107</f>
        <v>30800</v>
      </c>
      <c r="F245" s="68">
        <f>'Приложение 5'!I107</f>
        <v>28856</v>
      </c>
      <c r="G245" s="68">
        <f>'Приложение 5'!J107</f>
        <v>23056</v>
      </c>
      <c r="H245" s="86">
        <f>'Приложение 5'!K106</f>
        <v>103.73</v>
      </c>
      <c r="I245" s="87">
        <f>'Приложение 5'!L106</f>
        <v>0</v>
      </c>
      <c r="J245" s="87">
        <f>'Приложение 5'!M106</f>
        <v>0</v>
      </c>
      <c r="K245" s="87">
        <f>'Приложение 5'!N106</f>
        <v>0</v>
      </c>
      <c r="L245" s="87">
        <f>'Приложение 5'!O106</f>
        <v>0</v>
      </c>
      <c r="M245" s="86">
        <f>'Приложение 5'!P106</f>
        <v>82815.73</v>
      </c>
    </row>
    <row r="246" spans="1:13" ht="47.1" customHeight="1" x14ac:dyDescent="0.3">
      <c r="A246" s="481"/>
      <c r="B246" s="393"/>
      <c r="C246" s="59" t="s">
        <v>95</v>
      </c>
      <c r="D246" s="96"/>
      <c r="E246" s="68">
        <f>E253+E260+E267+E274+E281</f>
        <v>4131</v>
      </c>
      <c r="F246" s="68">
        <f t="shared" ref="F246:L246" si="45">F253+F260+F267+F274+F281</f>
        <v>4114</v>
      </c>
      <c r="G246" s="68">
        <f t="shared" si="45"/>
        <v>4114</v>
      </c>
      <c r="H246" s="68">
        <f t="shared" si="45"/>
        <v>0</v>
      </c>
      <c r="I246" s="68">
        <f t="shared" si="45"/>
        <v>0</v>
      </c>
      <c r="J246" s="68">
        <f t="shared" si="45"/>
        <v>0</v>
      </c>
      <c r="K246" s="68">
        <f t="shared" si="45"/>
        <v>0</v>
      </c>
      <c r="L246" s="68">
        <f t="shared" si="45"/>
        <v>0</v>
      </c>
      <c r="M246" s="86">
        <f>SUM(E246:L246)</f>
        <v>12359</v>
      </c>
    </row>
    <row r="247" spans="1:13" ht="63" customHeight="1" x14ac:dyDescent="0.3">
      <c r="A247" s="481"/>
      <c r="B247" s="393"/>
      <c r="C247" s="60" t="s">
        <v>96</v>
      </c>
      <c r="D247" s="96"/>
      <c r="E247" s="68">
        <v>0</v>
      </c>
      <c r="F247" s="68">
        <v>0</v>
      </c>
      <c r="G247" s="68">
        <v>0</v>
      </c>
      <c r="H247" s="68">
        <v>0</v>
      </c>
      <c r="I247" s="68">
        <v>0</v>
      </c>
      <c r="J247" s="68">
        <v>0</v>
      </c>
      <c r="K247" s="68">
        <v>0</v>
      </c>
      <c r="L247" s="68">
        <v>0</v>
      </c>
      <c r="M247" s="85">
        <v>0</v>
      </c>
    </row>
    <row r="248" spans="1:13" ht="63.95" customHeight="1" x14ac:dyDescent="0.3">
      <c r="A248" s="481"/>
      <c r="B248" s="393"/>
      <c r="C248" s="59" t="s">
        <v>97</v>
      </c>
      <c r="D248" s="96"/>
      <c r="E248" s="68">
        <v>0</v>
      </c>
      <c r="F248" s="68">
        <v>0</v>
      </c>
      <c r="G248" s="68">
        <v>0</v>
      </c>
      <c r="H248" s="68">
        <v>0</v>
      </c>
      <c r="I248" s="68">
        <v>0</v>
      </c>
      <c r="J248" s="68">
        <v>0</v>
      </c>
      <c r="K248" s="68">
        <v>0</v>
      </c>
      <c r="L248" s="68">
        <v>0</v>
      </c>
      <c r="M248" s="85">
        <v>0</v>
      </c>
    </row>
    <row r="249" spans="1:13" ht="30" x14ac:dyDescent="0.3">
      <c r="A249" s="549"/>
      <c r="B249" s="506"/>
      <c r="C249" s="59" t="s">
        <v>98</v>
      </c>
      <c r="D249" s="96"/>
      <c r="E249" s="68">
        <v>0</v>
      </c>
      <c r="F249" s="68">
        <v>0</v>
      </c>
      <c r="G249" s="68">
        <v>0</v>
      </c>
      <c r="H249" s="68">
        <v>0</v>
      </c>
      <c r="I249" s="68">
        <v>0</v>
      </c>
      <c r="J249" s="68">
        <v>0</v>
      </c>
      <c r="K249" s="68">
        <v>0</v>
      </c>
      <c r="L249" s="68">
        <v>0</v>
      </c>
      <c r="M249" s="85">
        <v>0</v>
      </c>
    </row>
    <row r="250" spans="1:13" ht="18.75" customHeight="1" x14ac:dyDescent="0.3">
      <c r="A250" s="433" t="s">
        <v>206</v>
      </c>
      <c r="B250" s="547" t="s">
        <v>122</v>
      </c>
      <c r="C250" s="29" t="s">
        <v>27</v>
      </c>
      <c r="D250" s="61" t="s">
        <v>31</v>
      </c>
      <c r="E250" s="62">
        <f t="shared" ref="E250:L250" si="46">SUM(E251:E256)</f>
        <v>4800</v>
      </c>
      <c r="F250" s="63">
        <f t="shared" si="46"/>
        <v>4656</v>
      </c>
      <c r="G250" s="63">
        <f t="shared" si="46"/>
        <v>4656</v>
      </c>
      <c r="H250" s="63">
        <f t="shared" si="46"/>
        <v>103.73</v>
      </c>
      <c r="I250" s="62">
        <f t="shared" si="46"/>
        <v>0</v>
      </c>
      <c r="J250" s="62">
        <f t="shared" si="46"/>
        <v>0</v>
      </c>
      <c r="K250" s="63">
        <f t="shared" si="46"/>
        <v>0</v>
      </c>
      <c r="L250" s="63">
        <f t="shared" si="46"/>
        <v>0</v>
      </c>
      <c r="M250" s="63">
        <f>SUM(E250:L250)</f>
        <v>14215.73</v>
      </c>
    </row>
    <row r="251" spans="1:13" ht="30" customHeight="1" x14ac:dyDescent="0.3">
      <c r="A251" s="433"/>
      <c r="B251" s="547"/>
      <c r="C251" s="30" t="s">
        <v>93</v>
      </c>
      <c r="D251" s="61"/>
      <c r="E251" s="68">
        <v>0</v>
      </c>
      <c r="F251" s="65">
        <v>0</v>
      </c>
      <c r="G251" s="65">
        <v>0</v>
      </c>
      <c r="H251" s="65">
        <v>0</v>
      </c>
      <c r="I251" s="64">
        <v>0</v>
      </c>
      <c r="J251" s="65">
        <v>0</v>
      </c>
      <c r="K251" s="64">
        <v>0</v>
      </c>
      <c r="L251" s="65">
        <v>0</v>
      </c>
      <c r="M251" s="65">
        <f>SUM(E251:I251)</f>
        <v>0</v>
      </c>
    </row>
    <row r="252" spans="1:13" ht="18.75" customHeight="1" x14ac:dyDescent="0.3">
      <c r="A252" s="433"/>
      <c r="B252" s="547"/>
      <c r="C252" s="31" t="s">
        <v>94</v>
      </c>
      <c r="D252" s="61" t="s">
        <v>31</v>
      </c>
      <c r="E252" s="64">
        <f>'Приложение 5'!H109</f>
        <v>4800</v>
      </c>
      <c r="F252" s="65">
        <f>'Приложение 5'!I110+'Приложение 5'!I111</f>
        <v>4656</v>
      </c>
      <c r="G252" s="65">
        <f>'Приложение 5'!J112+'Приложение 5'!J113</f>
        <v>4656</v>
      </c>
      <c r="H252" s="65">
        <f>'Приложение 5'!K116</f>
        <v>103.73</v>
      </c>
      <c r="I252" s="65">
        <f>'Приложение 5'!L114+'Приложение 5'!L115</f>
        <v>0</v>
      </c>
      <c r="J252" s="65">
        <f>'Приложение 5'!M114+'Приложение 5'!M115</f>
        <v>0</v>
      </c>
      <c r="K252" s="65">
        <f>'Приложение 5'!N114+'Приложение 5'!N115</f>
        <v>0</v>
      </c>
      <c r="L252" s="65">
        <f>'Приложение 5'!O114+'Приложение 5'!O115</f>
        <v>0</v>
      </c>
      <c r="M252" s="74">
        <f>SUM(E252:L252)</f>
        <v>14215.73</v>
      </c>
    </row>
    <row r="253" spans="1:13" ht="47.1" customHeight="1" x14ac:dyDescent="0.3">
      <c r="A253" s="433"/>
      <c r="B253" s="547"/>
      <c r="C253" s="32" t="s">
        <v>95</v>
      </c>
      <c r="D253" s="61"/>
      <c r="E253" s="64">
        <v>0</v>
      </c>
      <c r="F253" s="65">
        <v>0</v>
      </c>
      <c r="G253" s="65">
        <v>0</v>
      </c>
      <c r="H253" s="65">
        <v>0</v>
      </c>
      <c r="I253" s="64">
        <v>0</v>
      </c>
      <c r="J253" s="64">
        <v>0</v>
      </c>
      <c r="K253" s="64">
        <v>0</v>
      </c>
      <c r="L253" s="64">
        <v>0</v>
      </c>
      <c r="M253" s="65">
        <f>SUM(E253:I253)</f>
        <v>0</v>
      </c>
    </row>
    <row r="254" spans="1:13" ht="63.95" customHeight="1" x14ac:dyDescent="0.3">
      <c r="A254" s="433"/>
      <c r="B254" s="547"/>
      <c r="C254" s="30" t="s">
        <v>96</v>
      </c>
      <c r="D254" s="61"/>
      <c r="E254" s="65">
        <v>0</v>
      </c>
      <c r="F254" s="65">
        <v>0</v>
      </c>
      <c r="G254" s="65">
        <v>0</v>
      </c>
      <c r="H254" s="65">
        <v>0</v>
      </c>
      <c r="I254" s="64">
        <v>0</v>
      </c>
      <c r="J254" s="64">
        <v>0</v>
      </c>
      <c r="K254" s="64">
        <v>0</v>
      </c>
      <c r="L254" s="64">
        <v>0</v>
      </c>
      <c r="M254" s="65">
        <v>0</v>
      </c>
    </row>
    <row r="255" spans="1:13" ht="63.95" customHeight="1" x14ac:dyDescent="0.3">
      <c r="A255" s="433"/>
      <c r="B255" s="547"/>
      <c r="C255" s="30" t="s">
        <v>97</v>
      </c>
      <c r="D255" s="61"/>
      <c r="E255" s="65">
        <v>0</v>
      </c>
      <c r="F255" s="65">
        <v>0</v>
      </c>
      <c r="G255" s="65">
        <v>0</v>
      </c>
      <c r="H255" s="65">
        <v>0</v>
      </c>
      <c r="I255" s="64">
        <v>0</v>
      </c>
      <c r="J255" s="64">
        <v>0</v>
      </c>
      <c r="K255" s="64">
        <v>0</v>
      </c>
      <c r="L255" s="64">
        <v>0</v>
      </c>
      <c r="M255" s="65">
        <v>0</v>
      </c>
    </row>
    <row r="256" spans="1:13" ht="30" x14ac:dyDescent="0.3">
      <c r="A256" s="433"/>
      <c r="B256" s="547"/>
      <c r="C256" s="101" t="s">
        <v>98</v>
      </c>
      <c r="D256" s="61"/>
      <c r="E256" s="65">
        <v>0</v>
      </c>
      <c r="F256" s="65">
        <v>0</v>
      </c>
      <c r="G256" s="65">
        <v>0</v>
      </c>
      <c r="H256" s="65">
        <v>0</v>
      </c>
      <c r="I256" s="64">
        <v>0</v>
      </c>
      <c r="J256" s="64">
        <v>0</v>
      </c>
      <c r="K256" s="64">
        <v>0</v>
      </c>
      <c r="L256" s="64">
        <v>0</v>
      </c>
      <c r="M256" s="65">
        <v>0</v>
      </c>
    </row>
    <row r="257" spans="1:13" ht="18.75" customHeight="1" x14ac:dyDescent="0.3">
      <c r="A257" s="553" t="s">
        <v>207</v>
      </c>
      <c r="B257" s="547" t="s">
        <v>332</v>
      </c>
      <c r="C257" s="29" t="s">
        <v>27</v>
      </c>
      <c r="D257" s="61" t="s">
        <v>31</v>
      </c>
      <c r="E257" s="62">
        <f t="shared" ref="E257:L257" si="47">SUM(E258:E263)</f>
        <v>28531</v>
      </c>
      <c r="F257" s="63">
        <f t="shared" si="47"/>
        <v>22514</v>
      </c>
      <c r="G257" s="63">
        <f t="shared" si="47"/>
        <v>22514</v>
      </c>
      <c r="H257" s="63">
        <f t="shared" si="47"/>
        <v>0</v>
      </c>
      <c r="I257" s="62">
        <f t="shared" si="47"/>
        <v>0</v>
      </c>
      <c r="J257" s="62">
        <f t="shared" si="47"/>
        <v>0</v>
      </c>
      <c r="K257" s="63">
        <f t="shared" si="47"/>
        <v>0</v>
      </c>
      <c r="L257" s="63">
        <f t="shared" si="47"/>
        <v>0</v>
      </c>
      <c r="M257" s="63">
        <f>SUM(E257:I257)</f>
        <v>73559</v>
      </c>
    </row>
    <row r="258" spans="1:13" ht="30" customHeight="1" x14ac:dyDescent="0.3">
      <c r="A258" s="553"/>
      <c r="B258" s="547"/>
      <c r="C258" s="30" t="s">
        <v>93</v>
      </c>
      <c r="D258" s="61"/>
      <c r="E258" s="68">
        <v>0</v>
      </c>
      <c r="F258" s="65">
        <v>0</v>
      </c>
      <c r="G258" s="65">
        <v>0</v>
      </c>
      <c r="H258" s="65">
        <v>0</v>
      </c>
      <c r="I258" s="64">
        <v>0</v>
      </c>
      <c r="J258" s="65">
        <v>0</v>
      </c>
      <c r="K258" s="64">
        <v>0</v>
      </c>
      <c r="L258" s="65">
        <v>0</v>
      </c>
      <c r="M258" s="65">
        <f>SUM(E258:I258)</f>
        <v>0</v>
      </c>
    </row>
    <row r="259" spans="1:13" ht="18.75" customHeight="1" x14ac:dyDescent="0.3">
      <c r="A259" s="553"/>
      <c r="B259" s="547"/>
      <c r="C259" s="31" t="s">
        <v>94</v>
      </c>
      <c r="D259" s="61" t="s">
        <v>31</v>
      </c>
      <c r="E259" s="64">
        <f>'Приложение 5'!H117</f>
        <v>24400</v>
      </c>
      <c r="F259" s="65">
        <f>'Приложение 5'!I118</f>
        <v>18400</v>
      </c>
      <c r="G259" s="65">
        <f>'Приложение 5'!J118</f>
        <v>18400</v>
      </c>
      <c r="H259" s="65">
        <f>'Приложение 5'!K119</f>
        <v>0</v>
      </c>
      <c r="I259" s="64">
        <f>'Приложение 5'!L119</f>
        <v>0</v>
      </c>
      <c r="J259" s="64">
        <f>'Приложение 5'!M119</f>
        <v>0</v>
      </c>
      <c r="K259" s="65">
        <f>'Приложение 5'!N119</f>
        <v>0</v>
      </c>
      <c r="L259" s="65">
        <f>'Приложение 5'!O119</f>
        <v>0</v>
      </c>
      <c r="M259" s="74">
        <f>SUM(E259:L259)</f>
        <v>61200</v>
      </c>
    </row>
    <row r="260" spans="1:13" ht="47.1" customHeight="1" x14ac:dyDescent="0.3">
      <c r="A260" s="553"/>
      <c r="B260" s="547"/>
      <c r="C260" s="32" t="s">
        <v>95</v>
      </c>
      <c r="D260" s="61"/>
      <c r="E260" s="64">
        <v>4131</v>
      </c>
      <c r="F260" s="65">
        <v>4114</v>
      </c>
      <c r="G260" s="65">
        <v>4114</v>
      </c>
      <c r="H260" s="65">
        <f>4114-4114</f>
        <v>0</v>
      </c>
      <c r="I260" s="64">
        <f>4114-4114</f>
        <v>0</v>
      </c>
      <c r="J260" s="64">
        <f>4114-4114</f>
        <v>0</v>
      </c>
      <c r="K260" s="64">
        <f>4114-4114</f>
        <v>0</v>
      </c>
      <c r="L260" s="64">
        <f>4114-4114</f>
        <v>0</v>
      </c>
      <c r="M260" s="65">
        <f>SUM(E260:I260)</f>
        <v>12359</v>
      </c>
    </row>
    <row r="261" spans="1:13" ht="63" customHeight="1" x14ac:dyDescent="0.3">
      <c r="A261" s="553"/>
      <c r="B261" s="547"/>
      <c r="C261" s="30" t="s">
        <v>96</v>
      </c>
      <c r="D261" s="61"/>
      <c r="E261" s="65">
        <v>0</v>
      </c>
      <c r="F261" s="65">
        <v>0</v>
      </c>
      <c r="G261" s="65">
        <v>0</v>
      </c>
      <c r="H261" s="65">
        <v>0</v>
      </c>
      <c r="I261" s="64">
        <v>0</v>
      </c>
      <c r="J261" s="64">
        <v>0</v>
      </c>
      <c r="K261" s="64">
        <v>0</v>
      </c>
      <c r="L261" s="64">
        <v>0</v>
      </c>
      <c r="M261" s="65">
        <v>0</v>
      </c>
    </row>
    <row r="262" spans="1:13" ht="63.95" customHeight="1" x14ac:dyDescent="0.3">
      <c r="A262" s="553"/>
      <c r="B262" s="547"/>
      <c r="C262" s="30" t="s">
        <v>97</v>
      </c>
      <c r="D262" s="61"/>
      <c r="E262" s="65">
        <v>0</v>
      </c>
      <c r="F262" s="65">
        <v>0</v>
      </c>
      <c r="G262" s="65">
        <v>0</v>
      </c>
      <c r="H262" s="65">
        <v>0</v>
      </c>
      <c r="I262" s="64">
        <v>0</v>
      </c>
      <c r="J262" s="64">
        <v>0</v>
      </c>
      <c r="K262" s="64">
        <v>0</v>
      </c>
      <c r="L262" s="64">
        <v>0</v>
      </c>
      <c r="M262" s="65">
        <v>0</v>
      </c>
    </row>
    <row r="263" spans="1:13" ht="30" x14ac:dyDescent="0.3">
      <c r="A263" s="553"/>
      <c r="B263" s="547"/>
      <c r="C263" s="101" t="s">
        <v>98</v>
      </c>
      <c r="D263" s="61"/>
      <c r="E263" s="65">
        <v>0</v>
      </c>
      <c r="F263" s="65">
        <v>0</v>
      </c>
      <c r="G263" s="65">
        <v>0</v>
      </c>
      <c r="H263" s="65">
        <v>0</v>
      </c>
      <c r="I263" s="64">
        <v>0</v>
      </c>
      <c r="J263" s="64">
        <v>0</v>
      </c>
      <c r="K263" s="64">
        <v>0</v>
      </c>
      <c r="L263" s="64">
        <v>0</v>
      </c>
      <c r="M263" s="65">
        <v>0</v>
      </c>
    </row>
    <row r="264" spans="1:13" ht="18.75" customHeight="1" x14ac:dyDescent="0.3">
      <c r="A264" s="433" t="s">
        <v>208</v>
      </c>
      <c r="B264" s="547" t="s">
        <v>67</v>
      </c>
      <c r="C264" s="29" t="s">
        <v>27</v>
      </c>
      <c r="D264" s="61" t="s">
        <v>31</v>
      </c>
      <c r="E264" s="62">
        <f t="shared" ref="E264:L264" si="48">SUM(E265:E270)</f>
        <v>800</v>
      </c>
      <c r="F264" s="63">
        <f t="shared" si="48"/>
        <v>0</v>
      </c>
      <c r="G264" s="63">
        <f t="shared" si="48"/>
        <v>0</v>
      </c>
      <c r="H264" s="63">
        <f t="shared" si="48"/>
        <v>0</v>
      </c>
      <c r="I264" s="62">
        <f t="shared" si="48"/>
        <v>0</v>
      </c>
      <c r="J264" s="62">
        <f t="shared" si="48"/>
        <v>0</v>
      </c>
      <c r="K264" s="63">
        <f t="shared" si="48"/>
        <v>0</v>
      </c>
      <c r="L264" s="63">
        <f t="shared" si="48"/>
        <v>0</v>
      </c>
      <c r="M264" s="63">
        <f>SUM(E264:I264)</f>
        <v>800</v>
      </c>
    </row>
    <row r="265" spans="1:13" ht="30" customHeight="1" x14ac:dyDescent="0.3">
      <c r="A265" s="433"/>
      <c r="B265" s="547"/>
      <c r="C265" s="30" t="s">
        <v>93</v>
      </c>
      <c r="D265" s="61"/>
      <c r="E265" s="68">
        <v>0</v>
      </c>
      <c r="F265" s="65">
        <v>0</v>
      </c>
      <c r="G265" s="65">
        <v>0</v>
      </c>
      <c r="H265" s="65">
        <v>0</v>
      </c>
      <c r="I265" s="64">
        <v>0</v>
      </c>
      <c r="J265" s="65">
        <v>0</v>
      </c>
      <c r="K265" s="64">
        <v>0</v>
      </c>
      <c r="L265" s="65">
        <v>0</v>
      </c>
      <c r="M265" s="65">
        <f>SUM(E265:I265)</f>
        <v>0</v>
      </c>
    </row>
    <row r="266" spans="1:13" ht="18.75" customHeight="1" x14ac:dyDescent="0.3">
      <c r="A266" s="433"/>
      <c r="B266" s="547"/>
      <c r="C266" s="31" t="s">
        <v>94</v>
      </c>
      <c r="D266" s="61" t="s">
        <v>31</v>
      </c>
      <c r="E266" s="64">
        <f>'Приложение 5'!H120</f>
        <v>800</v>
      </c>
      <c r="F266" s="65">
        <f>'Приложение 5'!I120</f>
        <v>0</v>
      </c>
      <c r="G266" s="65">
        <f>'Приложение 5'!J120</f>
        <v>0</v>
      </c>
      <c r="H266" s="65">
        <f>'Приложение 5'!K120</f>
        <v>0</v>
      </c>
      <c r="I266" s="64">
        <f>'Приложение 5'!L120</f>
        <v>0</v>
      </c>
      <c r="J266" s="64">
        <f>'Приложение 5'!M120</f>
        <v>0</v>
      </c>
      <c r="K266" s="65">
        <f>'Приложение 5'!N120</f>
        <v>0</v>
      </c>
      <c r="L266" s="65">
        <f>'Приложение 5'!O120</f>
        <v>0</v>
      </c>
      <c r="M266" s="74">
        <f>SUM(E266:I266)</f>
        <v>800</v>
      </c>
    </row>
    <row r="267" spans="1:13" ht="47.1" customHeight="1" x14ac:dyDescent="0.3">
      <c r="A267" s="433"/>
      <c r="B267" s="547"/>
      <c r="C267" s="32" t="s">
        <v>95</v>
      </c>
      <c r="D267" s="61"/>
      <c r="E267" s="64">
        <v>0</v>
      </c>
      <c r="F267" s="65">
        <v>0</v>
      </c>
      <c r="G267" s="65">
        <v>0</v>
      </c>
      <c r="H267" s="65">
        <v>0</v>
      </c>
      <c r="I267" s="64">
        <v>0</v>
      </c>
      <c r="J267" s="64">
        <v>0</v>
      </c>
      <c r="K267" s="64">
        <v>0</v>
      </c>
      <c r="L267" s="64">
        <v>0</v>
      </c>
      <c r="M267" s="65">
        <f>SUM(E267:I267)</f>
        <v>0</v>
      </c>
    </row>
    <row r="268" spans="1:13" ht="63" customHeight="1" x14ac:dyDescent="0.3">
      <c r="A268" s="433"/>
      <c r="B268" s="547"/>
      <c r="C268" s="30" t="s">
        <v>96</v>
      </c>
      <c r="D268" s="61"/>
      <c r="E268" s="65">
        <v>0</v>
      </c>
      <c r="F268" s="65">
        <v>0</v>
      </c>
      <c r="G268" s="65">
        <v>0</v>
      </c>
      <c r="H268" s="65">
        <v>0</v>
      </c>
      <c r="I268" s="64">
        <v>0</v>
      </c>
      <c r="J268" s="64">
        <v>0</v>
      </c>
      <c r="K268" s="64">
        <v>0</v>
      </c>
      <c r="L268" s="64">
        <v>0</v>
      </c>
      <c r="M268" s="65">
        <v>0</v>
      </c>
    </row>
    <row r="269" spans="1:13" ht="63.95" customHeight="1" x14ac:dyDescent="0.3">
      <c r="A269" s="433"/>
      <c r="B269" s="547"/>
      <c r="C269" s="30" t="s">
        <v>97</v>
      </c>
      <c r="D269" s="61"/>
      <c r="E269" s="65">
        <v>0</v>
      </c>
      <c r="F269" s="65">
        <v>0</v>
      </c>
      <c r="G269" s="65">
        <v>0</v>
      </c>
      <c r="H269" s="65">
        <v>0</v>
      </c>
      <c r="I269" s="64">
        <v>0</v>
      </c>
      <c r="J269" s="64">
        <v>0</v>
      </c>
      <c r="K269" s="64">
        <v>0</v>
      </c>
      <c r="L269" s="64">
        <v>0</v>
      </c>
      <c r="M269" s="65">
        <v>0</v>
      </c>
    </row>
    <row r="270" spans="1:13" ht="30" x14ac:dyDescent="0.3">
      <c r="A270" s="433"/>
      <c r="B270" s="547"/>
      <c r="C270" s="101" t="s">
        <v>98</v>
      </c>
      <c r="D270" s="61"/>
      <c r="E270" s="65">
        <v>0</v>
      </c>
      <c r="F270" s="65">
        <v>0</v>
      </c>
      <c r="G270" s="65">
        <v>0</v>
      </c>
      <c r="H270" s="65">
        <v>0</v>
      </c>
      <c r="I270" s="64">
        <v>0</v>
      </c>
      <c r="J270" s="64">
        <v>0</v>
      </c>
      <c r="K270" s="64">
        <v>0</v>
      </c>
      <c r="L270" s="64">
        <v>0</v>
      </c>
      <c r="M270" s="65">
        <v>0</v>
      </c>
    </row>
    <row r="271" spans="1:13" ht="18.75" customHeight="1" x14ac:dyDescent="0.3">
      <c r="A271" s="433" t="s">
        <v>209</v>
      </c>
      <c r="B271" s="547" t="s">
        <v>310</v>
      </c>
      <c r="C271" s="29" t="s">
        <v>27</v>
      </c>
      <c r="D271" s="61" t="s">
        <v>31</v>
      </c>
      <c r="E271" s="62">
        <f t="shared" ref="E271:L271" si="49">SUM(E272:E277)</f>
        <v>800</v>
      </c>
      <c r="F271" s="63">
        <f t="shared" si="49"/>
        <v>0</v>
      </c>
      <c r="G271" s="63">
        <f t="shared" si="49"/>
        <v>0</v>
      </c>
      <c r="H271" s="63">
        <f t="shared" si="49"/>
        <v>0</v>
      </c>
      <c r="I271" s="62">
        <f t="shared" si="49"/>
        <v>0</v>
      </c>
      <c r="J271" s="62">
        <f t="shared" si="49"/>
        <v>0</v>
      </c>
      <c r="K271" s="63">
        <f t="shared" si="49"/>
        <v>0</v>
      </c>
      <c r="L271" s="63">
        <f t="shared" si="49"/>
        <v>0</v>
      </c>
      <c r="M271" s="63">
        <f>SUM(E271:I271)</f>
        <v>800</v>
      </c>
    </row>
    <row r="272" spans="1:13" ht="30" customHeight="1" x14ac:dyDescent="0.3">
      <c r="A272" s="433"/>
      <c r="B272" s="547"/>
      <c r="C272" s="30" t="s">
        <v>93</v>
      </c>
      <c r="D272" s="61"/>
      <c r="E272" s="68">
        <v>0</v>
      </c>
      <c r="F272" s="65">
        <v>0</v>
      </c>
      <c r="G272" s="65">
        <v>0</v>
      </c>
      <c r="H272" s="65">
        <v>0</v>
      </c>
      <c r="I272" s="64">
        <v>0</v>
      </c>
      <c r="J272" s="65">
        <v>0</v>
      </c>
      <c r="K272" s="64">
        <v>0</v>
      </c>
      <c r="L272" s="65">
        <v>0</v>
      </c>
      <c r="M272" s="65">
        <f>SUM(E272:I272)</f>
        <v>0</v>
      </c>
    </row>
    <row r="273" spans="1:13" ht="18.75" customHeight="1" x14ac:dyDescent="0.3">
      <c r="A273" s="433"/>
      <c r="B273" s="547"/>
      <c r="C273" s="31" t="s">
        <v>94</v>
      </c>
      <c r="D273" s="61" t="s">
        <v>31</v>
      </c>
      <c r="E273" s="64">
        <f>'Приложение 5'!H121</f>
        <v>800</v>
      </c>
      <c r="F273" s="65">
        <f>'Приложение 5'!I121</f>
        <v>0</v>
      </c>
      <c r="G273" s="65">
        <f>'Приложение 5'!J121</f>
        <v>0</v>
      </c>
      <c r="H273" s="65">
        <f>'Приложение 5'!K121</f>
        <v>0</v>
      </c>
      <c r="I273" s="64">
        <f>'Приложение 5'!L121</f>
        <v>0</v>
      </c>
      <c r="J273" s="64">
        <f>'Приложение 5'!M121</f>
        <v>0</v>
      </c>
      <c r="K273" s="65">
        <f>'Приложение 5'!N121</f>
        <v>0</v>
      </c>
      <c r="L273" s="65">
        <f>'Приложение 5'!O121</f>
        <v>0</v>
      </c>
      <c r="M273" s="74">
        <f>SUM(E273:I273)</f>
        <v>800</v>
      </c>
    </row>
    <row r="274" spans="1:13" ht="47.1" customHeight="1" x14ac:dyDescent="0.3">
      <c r="A274" s="433"/>
      <c r="B274" s="547"/>
      <c r="C274" s="32" t="s">
        <v>95</v>
      </c>
      <c r="D274" s="61"/>
      <c r="E274" s="64">
        <v>0</v>
      </c>
      <c r="F274" s="65">
        <v>0</v>
      </c>
      <c r="G274" s="65">
        <v>0</v>
      </c>
      <c r="H274" s="65">
        <v>0</v>
      </c>
      <c r="I274" s="64">
        <v>0</v>
      </c>
      <c r="J274" s="64">
        <v>0</v>
      </c>
      <c r="K274" s="64">
        <v>0</v>
      </c>
      <c r="L274" s="64">
        <v>0</v>
      </c>
      <c r="M274" s="65">
        <f>SUM(E274:I274)</f>
        <v>0</v>
      </c>
    </row>
    <row r="275" spans="1:13" ht="63" customHeight="1" x14ac:dyDescent="0.3">
      <c r="A275" s="433"/>
      <c r="B275" s="547"/>
      <c r="C275" s="30" t="s">
        <v>96</v>
      </c>
      <c r="D275" s="61"/>
      <c r="E275" s="65">
        <v>0</v>
      </c>
      <c r="F275" s="65">
        <v>0</v>
      </c>
      <c r="G275" s="65">
        <v>0</v>
      </c>
      <c r="H275" s="65">
        <v>0</v>
      </c>
      <c r="I275" s="64">
        <v>0</v>
      </c>
      <c r="J275" s="64">
        <v>0</v>
      </c>
      <c r="K275" s="64">
        <v>0</v>
      </c>
      <c r="L275" s="64">
        <v>0</v>
      </c>
      <c r="M275" s="65">
        <v>0</v>
      </c>
    </row>
    <row r="276" spans="1:13" ht="63.95" customHeight="1" x14ac:dyDescent="0.3">
      <c r="A276" s="433"/>
      <c r="B276" s="547"/>
      <c r="C276" s="30" t="s">
        <v>97</v>
      </c>
      <c r="D276" s="61"/>
      <c r="E276" s="65">
        <v>0</v>
      </c>
      <c r="F276" s="65">
        <v>0</v>
      </c>
      <c r="G276" s="65">
        <v>0</v>
      </c>
      <c r="H276" s="65">
        <v>0</v>
      </c>
      <c r="I276" s="64">
        <v>0</v>
      </c>
      <c r="J276" s="64">
        <v>0</v>
      </c>
      <c r="K276" s="64">
        <v>0</v>
      </c>
      <c r="L276" s="64">
        <v>0</v>
      </c>
      <c r="M276" s="65">
        <v>0</v>
      </c>
    </row>
    <row r="277" spans="1:13" ht="30" x14ac:dyDescent="0.3">
      <c r="A277" s="433"/>
      <c r="B277" s="547"/>
      <c r="C277" s="101" t="s">
        <v>98</v>
      </c>
      <c r="D277" s="61"/>
      <c r="E277" s="65">
        <v>0</v>
      </c>
      <c r="F277" s="65">
        <v>0</v>
      </c>
      <c r="G277" s="65">
        <v>0</v>
      </c>
      <c r="H277" s="65">
        <v>0</v>
      </c>
      <c r="I277" s="64">
        <v>0</v>
      </c>
      <c r="J277" s="64">
        <v>0</v>
      </c>
      <c r="K277" s="64">
        <v>0</v>
      </c>
      <c r="L277" s="64">
        <v>0</v>
      </c>
      <c r="M277" s="65">
        <v>0</v>
      </c>
    </row>
    <row r="278" spans="1:13" ht="18.75" customHeight="1" x14ac:dyDescent="0.3">
      <c r="A278" s="432" t="s">
        <v>210</v>
      </c>
      <c r="B278" s="509" t="s">
        <v>381</v>
      </c>
      <c r="C278" s="29" t="s">
        <v>27</v>
      </c>
      <c r="D278" s="107">
        <v>759</v>
      </c>
      <c r="E278" s="62">
        <f>SUM(E279:E284)</f>
        <v>0</v>
      </c>
      <c r="F278" s="62">
        <f>SUM(F279:F284)</f>
        <v>5800</v>
      </c>
      <c r="G278" s="62">
        <f>SUM(G279:G284)</f>
        <v>0</v>
      </c>
      <c r="H278" s="62">
        <f>SUM(H279:I284)</f>
        <v>0</v>
      </c>
      <c r="I278" s="62">
        <f>SUM(I279:I284)</f>
        <v>0</v>
      </c>
      <c r="J278" s="62">
        <f>SUM(J279:J284)</f>
        <v>0</v>
      </c>
      <c r="K278" s="62">
        <f>SUM(K279:K284)</f>
        <v>0</v>
      </c>
      <c r="L278" s="62">
        <f>SUM(L279:L284)</f>
        <v>0</v>
      </c>
      <c r="M278" s="63">
        <f>SUM(E278:L278)</f>
        <v>5800</v>
      </c>
    </row>
    <row r="279" spans="1:13" ht="30" customHeight="1" x14ac:dyDescent="0.3">
      <c r="A279" s="402"/>
      <c r="B279" s="449"/>
      <c r="C279" s="30" t="s">
        <v>93</v>
      </c>
      <c r="D279" s="107"/>
      <c r="E279" s="68">
        <v>0</v>
      </c>
      <c r="F279" s="64">
        <v>0</v>
      </c>
      <c r="G279" s="64">
        <v>0</v>
      </c>
      <c r="H279" s="64">
        <v>0</v>
      </c>
      <c r="I279" s="64">
        <v>0</v>
      </c>
      <c r="J279" s="64">
        <v>0</v>
      </c>
      <c r="K279" s="64">
        <v>0</v>
      </c>
      <c r="L279" s="64">
        <v>0</v>
      </c>
      <c r="M279" s="65">
        <f>SUM(E279:I279)</f>
        <v>0</v>
      </c>
    </row>
    <row r="280" spans="1:13" ht="18.75" customHeight="1" x14ac:dyDescent="0.3">
      <c r="A280" s="402"/>
      <c r="B280" s="449"/>
      <c r="C280" s="31" t="s">
        <v>94</v>
      </c>
      <c r="D280" s="107">
        <v>759</v>
      </c>
      <c r="E280" s="64">
        <f>'Приложение 5'!H122</f>
        <v>0</v>
      </c>
      <c r="F280" s="64">
        <f>'Приложение 5'!I122</f>
        <v>5800</v>
      </c>
      <c r="G280" s="64">
        <f>'Приложение 5'!J122</f>
        <v>0</v>
      </c>
      <c r="H280" s="64">
        <f>'Приложение 5'!K123</f>
        <v>0</v>
      </c>
      <c r="I280" s="64">
        <f>'Приложение 5'!L123</f>
        <v>0</v>
      </c>
      <c r="J280" s="64">
        <f>'Приложение 5'!M123</f>
        <v>0</v>
      </c>
      <c r="K280" s="64">
        <f>'Приложение 5'!N123</f>
        <v>0</v>
      </c>
      <c r="L280" s="64">
        <f>'Приложение 5'!O123</f>
        <v>0</v>
      </c>
      <c r="M280" s="74">
        <f>SUM(E280:L280)</f>
        <v>5800</v>
      </c>
    </row>
    <row r="281" spans="1:13" ht="47.1" customHeight="1" x14ac:dyDescent="0.3">
      <c r="A281" s="402"/>
      <c r="B281" s="449"/>
      <c r="C281" s="32" t="s">
        <v>95</v>
      </c>
      <c r="D281" s="107"/>
      <c r="E281" s="64">
        <v>0</v>
      </c>
      <c r="F281" s="64">
        <v>0</v>
      </c>
      <c r="G281" s="64">
        <v>0</v>
      </c>
      <c r="H281" s="64">
        <v>0</v>
      </c>
      <c r="I281" s="64">
        <v>0</v>
      </c>
      <c r="J281" s="64">
        <v>0</v>
      </c>
      <c r="K281" s="64">
        <v>0</v>
      </c>
      <c r="L281" s="64">
        <v>0</v>
      </c>
      <c r="M281" s="65">
        <f>SUM(E281:I281)</f>
        <v>0</v>
      </c>
    </row>
    <row r="282" spans="1:13" ht="63" customHeight="1" x14ac:dyDescent="0.3">
      <c r="A282" s="402"/>
      <c r="B282" s="449"/>
      <c r="C282" s="30" t="s">
        <v>96</v>
      </c>
      <c r="D282" s="107"/>
      <c r="E282" s="65">
        <v>0</v>
      </c>
      <c r="F282" s="65">
        <v>0</v>
      </c>
      <c r="G282" s="65">
        <v>0</v>
      </c>
      <c r="H282" s="71">
        <v>0</v>
      </c>
      <c r="I282" s="77">
        <v>0</v>
      </c>
      <c r="J282" s="77">
        <v>0</v>
      </c>
      <c r="K282" s="77">
        <v>0</v>
      </c>
      <c r="L282" s="77">
        <v>0</v>
      </c>
      <c r="M282" s="65">
        <v>0</v>
      </c>
    </row>
    <row r="283" spans="1:13" ht="63.95" customHeight="1" x14ac:dyDescent="0.3">
      <c r="A283" s="402"/>
      <c r="B283" s="449"/>
      <c r="C283" s="30" t="s">
        <v>97</v>
      </c>
      <c r="D283" s="107"/>
      <c r="E283" s="65">
        <v>0</v>
      </c>
      <c r="F283" s="77">
        <v>0</v>
      </c>
      <c r="G283" s="77">
        <v>0</v>
      </c>
      <c r="H283" s="71">
        <v>0</v>
      </c>
      <c r="I283" s="77">
        <v>0</v>
      </c>
      <c r="J283" s="77">
        <v>0</v>
      </c>
      <c r="K283" s="77">
        <v>0</v>
      </c>
      <c r="L283" s="77">
        <v>0</v>
      </c>
      <c r="M283" s="65">
        <v>0</v>
      </c>
    </row>
    <row r="284" spans="1:13" ht="30" x14ac:dyDescent="0.3">
      <c r="A284" s="403"/>
      <c r="B284" s="510"/>
      <c r="C284" s="101" t="s">
        <v>98</v>
      </c>
      <c r="D284" s="107"/>
      <c r="E284" s="65">
        <v>0</v>
      </c>
      <c r="F284" s="65">
        <v>0</v>
      </c>
      <c r="G284" s="65">
        <v>0</v>
      </c>
      <c r="H284" s="77">
        <v>0</v>
      </c>
      <c r="I284" s="77">
        <v>0</v>
      </c>
      <c r="J284" s="77">
        <v>0</v>
      </c>
      <c r="K284" s="77">
        <v>0</v>
      </c>
      <c r="L284" s="77">
        <v>0</v>
      </c>
      <c r="M284" s="65">
        <v>0</v>
      </c>
    </row>
    <row r="285" spans="1:13" ht="18.75" customHeight="1" x14ac:dyDescent="0.3">
      <c r="A285" s="402" t="s">
        <v>105</v>
      </c>
      <c r="B285" s="509" t="s">
        <v>371</v>
      </c>
      <c r="C285" s="29" t="s">
        <v>27</v>
      </c>
      <c r="D285" s="107"/>
      <c r="E285" s="62">
        <f t="shared" ref="E285:M285" si="50">E287</f>
        <v>32530</v>
      </c>
      <c r="F285" s="63">
        <f t="shared" si="50"/>
        <v>6688</v>
      </c>
      <c r="G285" s="63">
        <f t="shared" si="50"/>
        <v>8789.5</v>
      </c>
      <c r="H285" s="79">
        <f t="shared" si="50"/>
        <v>8326</v>
      </c>
      <c r="I285" s="79">
        <f t="shared" si="50"/>
        <v>6955</v>
      </c>
      <c r="J285" s="79">
        <f t="shared" si="50"/>
        <v>6955</v>
      </c>
      <c r="K285" s="79">
        <f t="shared" si="50"/>
        <v>6955</v>
      </c>
      <c r="L285" s="79">
        <f t="shared" si="50"/>
        <v>6955</v>
      </c>
      <c r="M285" s="63">
        <f t="shared" si="50"/>
        <v>84153.5</v>
      </c>
    </row>
    <row r="286" spans="1:13" ht="30" customHeight="1" x14ac:dyDescent="0.3">
      <c r="A286" s="402"/>
      <c r="B286" s="449"/>
      <c r="C286" s="30" t="s">
        <v>93</v>
      </c>
      <c r="D286" s="107"/>
      <c r="E286" s="64">
        <v>0</v>
      </c>
      <c r="F286" s="64">
        <v>0</v>
      </c>
      <c r="G286" s="64">
        <v>0</v>
      </c>
      <c r="H286" s="64">
        <v>0</v>
      </c>
      <c r="I286" s="64">
        <v>0</v>
      </c>
      <c r="J286" s="64">
        <v>0</v>
      </c>
      <c r="K286" s="64">
        <v>0</v>
      </c>
      <c r="L286" s="64">
        <v>0</v>
      </c>
      <c r="M286" s="65">
        <v>0</v>
      </c>
    </row>
    <row r="287" spans="1:13" ht="18.75" customHeight="1" x14ac:dyDescent="0.3">
      <c r="A287" s="402"/>
      <c r="B287" s="449"/>
      <c r="C287" s="31" t="s">
        <v>94</v>
      </c>
      <c r="D287" s="107"/>
      <c r="E287" s="64">
        <f>'Приложение 5'!H125+'Приложение 5'!H126+'Приложение 5'!H127</f>
        <v>32530</v>
      </c>
      <c r="F287" s="64">
        <f>'Приложение 5'!I125+'Приложение 5'!I126+'Приложение 5'!I127</f>
        <v>6688</v>
      </c>
      <c r="G287" s="64">
        <f>'Приложение 5'!J125+'Приложение 5'!J126+'Приложение 5'!J127</f>
        <v>8789.5</v>
      </c>
      <c r="H287" s="77">
        <f>'Приложение 5'!K124</f>
        <v>8326</v>
      </c>
      <c r="I287" s="77">
        <f>'Приложение 5'!L124</f>
        <v>6955</v>
      </c>
      <c r="J287" s="77">
        <f>'Приложение 5'!M124</f>
        <v>6955</v>
      </c>
      <c r="K287" s="77">
        <f>'Приложение 5'!N124</f>
        <v>6955</v>
      </c>
      <c r="L287" s="77">
        <f>'Приложение 5'!O124</f>
        <v>6955</v>
      </c>
      <c r="M287" s="65">
        <f>'Приложение 5'!P124</f>
        <v>84153.5</v>
      </c>
    </row>
    <row r="288" spans="1:13" ht="47.1" customHeight="1" x14ac:dyDescent="0.3">
      <c r="A288" s="402"/>
      <c r="B288" s="449"/>
      <c r="C288" s="32" t="s">
        <v>95</v>
      </c>
      <c r="D288" s="107"/>
      <c r="E288" s="64">
        <v>0</v>
      </c>
      <c r="F288" s="64">
        <v>0</v>
      </c>
      <c r="G288" s="64">
        <v>0</v>
      </c>
      <c r="H288" s="64">
        <v>0</v>
      </c>
      <c r="I288" s="64">
        <v>0</v>
      </c>
      <c r="J288" s="64">
        <v>0</v>
      </c>
      <c r="K288" s="64">
        <v>0</v>
      </c>
      <c r="L288" s="64">
        <v>0</v>
      </c>
      <c r="M288" s="65">
        <v>0</v>
      </c>
    </row>
    <row r="289" spans="1:13" ht="63" customHeight="1" x14ac:dyDescent="0.3">
      <c r="A289" s="402"/>
      <c r="B289" s="449"/>
      <c r="C289" s="30" t="s">
        <v>96</v>
      </c>
      <c r="D289" s="107"/>
      <c r="E289" s="64">
        <v>0</v>
      </c>
      <c r="F289" s="64">
        <v>0</v>
      </c>
      <c r="G289" s="64">
        <v>0</v>
      </c>
      <c r="H289" s="64">
        <v>0</v>
      </c>
      <c r="I289" s="64">
        <v>0</v>
      </c>
      <c r="J289" s="64">
        <v>0</v>
      </c>
      <c r="K289" s="64">
        <v>0</v>
      </c>
      <c r="L289" s="64">
        <v>0</v>
      </c>
      <c r="M289" s="65">
        <v>0</v>
      </c>
    </row>
    <row r="290" spans="1:13" ht="63.95" customHeight="1" x14ac:dyDescent="0.3">
      <c r="A290" s="402"/>
      <c r="B290" s="449"/>
      <c r="C290" s="30" t="s">
        <v>97</v>
      </c>
      <c r="D290" s="107"/>
      <c r="E290" s="64">
        <v>0</v>
      </c>
      <c r="F290" s="64">
        <v>0</v>
      </c>
      <c r="G290" s="64">
        <v>0</v>
      </c>
      <c r="H290" s="64">
        <v>0</v>
      </c>
      <c r="I290" s="64">
        <v>0</v>
      </c>
      <c r="J290" s="64">
        <v>0</v>
      </c>
      <c r="K290" s="64">
        <v>0</v>
      </c>
      <c r="L290" s="64">
        <v>0</v>
      </c>
      <c r="M290" s="65">
        <v>0</v>
      </c>
    </row>
    <row r="291" spans="1:13" ht="30" x14ac:dyDescent="0.3">
      <c r="A291" s="403"/>
      <c r="B291" s="510"/>
      <c r="C291" s="101" t="s">
        <v>98</v>
      </c>
      <c r="D291" s="107"/>
      <c r="E291" s="64">
        <v>0</v>
      </c>
      <c r="F291" s="64">
        <v>0</v>
      </c>
      <c r="G291" s="64">
        <v>0</v>
      </c>
      <c r="H291" s="64">
        <v>0</v>
      </c>
      <c r="I291" s="64">
        <v>0</v>
      </c>
      <c r="J291" s="64">
        <v>0</v>
      </c>
      <c r="K291" s="64">
        <v>0</v>
      </c>
      <c r="L291" s="64">
        <v>0</v>
      </c>
      <c r="M291" s="65">
        <v>0</v>
      </c>
    </row>
    <row r="292" spans="1:13" ht="18.75" customHeight="1" x14ac:dyDescent="0.3">
      <c r="A292" s="433" t="s">
        <v>211</v>
      </c>
      <c r="B292" s="547" t="s">
        <v>68</v>
      </c>
      <c r="C292" s="29" t="s">
        <v>27</v>
      </c>
      <c r="D292" s="108">
        <v>760</v>
      </c>
      <c r="E292" s="62">
        <f t="shared" ref="E292:L292" si="51">SUM(E293:E298)</f>
        <v>9950</v>
      </c>
      <c r="F292" s="63">
        <f t="shared" si="51"/>
        <v>6688</v>
      </c>
      <c r="G292" s="63">
        <f t="shared" si="51"/>
        <v>8789.5</v>
      </c>
      <c r="H292" s="63">
        <f t="shared" si="51"/>
        <v>8326</v>
      </c>
      <c r="I292" s="62">
        <f t="shared" si="51"/>
        <v>6955</v>
      </c>
      <c r="J292" s="62">
        <f t="shared" si="51"/>
        <v>6955</v>
      </c>
      <c r="K292" s="62">
        <f t="shared" si="51"/>
        <v>6955</v>
      </c>
      <c r="L292" s="62">
        <f t="shared" si="51"/>
        <v>6955</v>
      </c>
      <c r="M292" s="63">
        <f>SUM(E292:L292)</f>
        <v>61573.5</v>
      </c>
    </row>
    <row r="293" spans="1:13" ht="30" customHeight="1" x14ac:dyDescent="0.3">
      <c r="A293" s="433"/>
      <c r="B293" s="547"/>
      <c r="C293" s="30" t="s">
        <v>93</v>
      </c>
      <c r="D293" s="108"/>
      <c r="E293" s="68">
        <v>0</v>
      </c>
      <c r="F293" s="65">
        <v>0</v>
      </c>
      <c r="G293" s="65">
        <v>0</v>
      </c>
      <c r="H293" s="65">
        <v>0</v>
      </c>
      <c r="I293" s="64">
        <v>0</v>
      </c>
      <c r="J293" s="64">
        <v>0</v>
      </c>
      <c r="K293" s="64">
        <v>0</v>
      </c>
      <c r="L293" s="64">
        <v>0</v>
      </c>
      <c r="M293" s="65">
        <f>SUM(E293:I293)</f>
        <v>0</v>
      </c>
    </row>
    <row r="294" spans="1:13" ht="18.75" customHeight="1" x14ac:dyDescent="0.3">
      <c r="A294" s="433"/>
      <c r="B294" s="547"/>
      <c r="C294" s="31" t="s">
        <v>94</v>
      </c>
      <c r="D294" s="108">
        <v>760</v>
      </c>
      <c r="E294" s="64">
        <f>'Приложение 5'!H129</f>
        <v>9950</v>
      </c>
      <c r="F294" s="65">
        <f>'Приложение 5'!I130</f>
        <v>6688</v>
      </c>
      <c r="G294" s="65">
        <f>'Приложение 5'!J130</f>
        <v>8789.5</v>
      </c>
      <c r="H294" s="65">
        <f>'Приложение 5'!K131</f>
        <v>8326</v>
      </c>
      <c r="I294" s="64">
        <f>'Приложение 5'!L131</f>
        <v>6955</v>
      </c>
      <c r="J294" s="64">
        <f>'Приложение 5'!$M$131</f>
        <v>6955</v>
      </c>
      <c r="K294" s="64">
        <f>'Приложение 5'!$N$131</f>
        <v>6955</v>
      </c>
      <c r="L294" s="64">
        <f>'Приложение 5'!$O$131</f>
        <v>6955</v>
      </c>
      <c r="M294" s="74">
        <f>SUM(E294:L294)</f>
        <v>61573.5</v>
      </c>
    </row>
    <row r="295" spans="1:13" ht="47.1" customHeight="1" x14ac:dyDescent="0.3">
      <c r="A295" s="433"/>
      <c r="B295" s="547"/>
      <c r="C295" s="32" t="s">
        <v>95</v>
      </c>
      <c r="D295" s="108"/>
      <c r="E295" s="64">
        <v>0</v>
      </c>
      <c r="F295" s="65">
        <v>0</v>
      </c>
      <c r="G295" s="65">
        <v>0</v>
      </c>
      <c r="H295" s="65">
        <v>0</v>
      </c>
      <c r="I295" s="64">
        <v>0</v>
      </c>
      <c r="J295" s="64">
        <v>0</v>
      </c>
      <c r="K295" s="64">
        <v>0</v>
      </c>
      <c r="L295" s="64">
        <v>0</v>
      </c>
      <c r="M295" s="65">
        <f>SUM(E295:I295)</f>
        <v>0</v>
      </c>
    </row>
    <row r="296" spans="1:13" ht="63" customHeight="1" x14ac:dyDescent="0.3">
      <c r="A296" s="433"/>
      <c r="B296" s="547"/>
      <c r="C296" s="30" t="s">
        <v>96</v>
      </c>
      <c r="D296" s="108"/>
      <c r="E296" s="65">
        <v>0</v>
      </c>
      <c r="F296" s="65">
        <v>0</v>
      </c>
      <c r="G296" s="65">
        <v>0</v>
      </c>
      <c r="H296" s="65">
        <v>0</v>
      </c>
      <c r="I296" s="64">
        <v>0</v>
      </c>
      <c r="J296" s="64">
        <v>0</v>
      </c>
      <c r="K296" s="64">
        <v>0</v>
      </c>
      <c r="L296" s="64">
        <v>0</v>
      </c>
      <c r="M296" s="65">
        <v>0</v>
      </c>
    </row>
    <row r="297" spans="1:13" ht="63.95" customHeight="1" x14ac:dyDescent="0.3">
      <c r="A297" s="433"/>
      <c r="B297" s="547"/>
      <c r="C297" s="30" t="s">
        <v>97</v>
      </c>
      <c r="D297" s="108"/>
      <c r="E297" s="65">
        <v>0</v>
      </c>
      <c r="F297" s="65">
        <v>0</v>
      </c>
      <c r="G297" s="65">
        <v>0</v>
      </c>
      <c r="H297" s="65">
        <v>0</v>
      </c>
      <c r="I297" s="64">
        <v>0</v>
      </c>
      <c r="J297" s="64">
        <v>0</v>
      </c>
      <c r="K297" s="64">
        <v>0</v>
      </c>
      <c r="L297" s="64">
        <v>0</v>
      </c>
      <c r="M297" s="65">
        <v>0</v>
      </c>
    </row>
    <row r="298" spans="1:13" ht="33.75" customHeight="1" x14ac:dyDescent="0.3">
      <c r="A298" s="433"/>
      <c r="B298" s="547"/>
      <c r="C298" s="101" t="s">
        <v>98</v>
      </c>
      <c r="D298" s="108"/>
      <c r="E298" s="64">
        <v>0</v>
      </c>
      <c r="F298" s="65">
        <v>0</v>
      </c>
      <c r="G298" s="65">
        <v>0</v>
      </c>
      <c r="H298" s="65">
        <v>0</v>
      </c>
      <c r="I298" s="64">
        <v>0</v>
      </c>
      <c r="J298" s="64">
        <v>0</v>
      </c>
      <c r="K298" s="64">
        <v>0</v>
      </c>
      <c r="L298" s="64">
        <v>0</v>
      </c>
      <c r="M298" s="65">
        <v>0</v>
      </c>
    </row>
    <row r="299" spans="1:13" s="45" customFormat="1" ht="18.75" customHeight="1" x14ac:dyDescent="0.3">
      <c r="A299" s="433" t="s">
        <v>212</v>
      </c>
      <c r="B299" s="491" t="s">
        <v>311</v>
      </c>
      <c r="C299" s="29" t="s">
        <v>27</v>
      </c>
      <c r="D299" s="61" t="s">
        <v>31</v>
      </c>
      <c r="E299" s="62">
        <f t="shared" ref="E299:L299" si="52">SUM(E300:E305)</f>
        <v>22000</v>
      </c>
      <c r="F299" s="63">
        <f t="shared" si="52"/>
        <v>0</v>
      </c>
      <c r="G299" s="63">
        <f t="shared" si="52"/>
        <v>0</v>
      </c>
      <c r="H299" s="63">
        <f t="shared" si="52"/>
        <v>0</v>
      </c>
      <c r="I299" s="62">
        <f t="shared" si="52"/>
        <v>0</v>
      </c>
      <c r="J299" s="62">
        <f t="shared" si="52"/>
        <v>0</v>
      </c>
      <c r="K299" s="63">
        <f t="shared" si="52"/>
        <v>0</v>
      </c>
      <c r="L299" s="63">
        <f t="shared" si="52"/>
        <v>0</v>
      </c>
      <c r="M299" s="63">
        <f>SUM(E299:L299)</f>
        <v>22000</v>
      </c>
    </row>
    <row r="300" spans="1:13" s="45" customFormat="1" ht="30" customHeight="1" x14ac:dyDescent="0.3">
      <c r="A300" s="433"/>
      <c r="B300" s="491"/>
      <c r="C300" s="30" t="s">
        <v>93</v>
      </c>
      <c r="D300" s="61"/>
      <c r="E300" s="68">
        <v>0</v>
      </c>
      <c r="F300" s="65">
        <v>0</v>
      </c>
      <c r="G300" s="65">
        <v>0</v>
      </c>
      <c r="H300" s="65">
        <v>0</v>
      </c>
      <c r="I300" s="64">
        <v>0</v>
      </c>
      <c r="J300" s="65">
        <v>0</v>
      </c>
      <c r="K300" s="64">
        <v>0</v>
      </c>
      <c r="L300" s="65">
        <v>0</v>
      </c>
      <c r="M300" s="65">
        <f>SUM(E300:I300)</f>
        <v>0</v>
      </c>
    </row>
    <row r="301" spans="1:13" s="45" customFormat="1" ht="18.75" customHeight="1" x14ac:dyDescent="0.3">
      <c r="A301" s="433"/>
      <c r="B301" s="491"/>
      <c r="C301" s="31" t="s">
        <v>94</v>
      </c>
      <c r="D301" s="61" t="s">
        <v>31</v>
      </c>
      <c r="E301" s="64">
        <f>'Приложение 5'!H132</f>
        <v>22000</v>
      </c>
      <c r="F301" s="65">
        <f>'Приложение 5'!I132</f>
        <v>0</v>
      </c>
      <c r="G301" s="65">
        <f>'Приложение 5'!J132</f>
        <v>0</v>
      </c>
      <c r="H301" s="65">
        <f>'Приложение 5'!K132</f>
        <v>0</v>
      </c>
      <c r="I301" s="64">
        <f>'Приложение 5'!L132</f>
        <v>0</v>
      </c>
      <c r="J301" s="64">
        <f>'Приложение 5'!M132</f>
        <v>0</v>
      </c>
      <c r="K301" s="65">
        <f>'Приложение 5'!N132</f>
        <v>0</v>
      </c>
      <c r="L301" s="65">
        <f>'Приложение 5'!O132</f>
        <v>0</v>
      </c>
      <c r="M301" s="74">
        <f>SUM(E301:I301)</f>
        <v>22000</v>
      </c>
    </row>
    <row r="302" spans="1:13" s="45" customFormat="1" ht="47.1" customHeight="1" x14ac:dyDescent="0.3">
      <c r="A302" s="433"/>
      <c r="B302" s="491"/>
      <c r="C302" s="32" t="s">
        <v>95</v>
      </c>
      <c r="D302" s="61"/>
      <c r="E302" s="64">
        <v>0</v>
      </c>
      <c r="F302" s="65">
        <v>0</v>
      </c>
      <c r="G302" s="65">
        <v>0</v>
      </c>
      <c r="H302" s="65">
        <v>0</v>
      </c>
      <c r="I302" s="64">
        <v>0</v>
      </c>
      <c r="J302" s="64">
        <v>0</v>
      </c>
      <c r="K302" s="64">
        <v>0</v>
      </c>
      <c r="L302" s="64">
        <v>0</v>
      </c>
      <c r="M302" s="65">
        <f>SUM(E302:I302)</f>
        <v>0</v>
      </c>
    </row>
    <row r="303" spans="1:13" s="45" customFormat="1" ht="63" customHeight="1" x14ac:dyDescent="0.3">
      <c r="A303" s="433"/>
      <c r="B303" s="491"/>
      <c r="C303" s="30" t="s">
        <v>96</v>
      </c>
      <c r="D303" s="61"/>
      <c r="E303" s="65">
        <v>0</v>
      </c>
      <c r="F303" s="65">
        <v>0</v>
      </c>
      <c r="G303" s="65">
        <v>0</v>
      </c>
      <c r="H303" s="65">
        <v>0</v>
      </c>
      <c r="I303" s="64">
        <v>0</v>
      </c>
      <c r="J303" s="64">
        <v>0</v>
      </c>
      <c r="K303" s="64">
        <v>0</v>
      </c>
      <c r="L303" s="64">
        <v>0</v>
      </c>
      <c r="M303" s="65">
        <v>0</v>
      </c>
    </row>
    <row r="304" spans="1:13" s="45" customFormat="1" ht="63.95" customHeight="1" x14ac:dyDescent="0.3">
      <c r="A304" s="433"/>
      <c r="B304" s="491"/>
      <c r="C304" s="30" t="s">
        <v>97</v>
      </c>
      <c r="D304" s="61"/>
      <c r="E304" s="65">
        <v>0</v>
      </c>
      <c r="F304" s="65">
        <v>0</v>
      </c>
      <c r="G304" s="65">
        <v>0</v>
      </c>
      <c r="H304" s="65">
        <v>0</v>
      </c>
      <c r="I304" s="64">
        <v>0</v>
      </c>
      <c r="J304" s="64">
        <v>0</v>
      </c>
      <c r="K304" s="64">
        <v>0</v>
      </c>
      <c r="L304" s="64">
        <v>0</v>
      </c>
      <c r="M304" s="65">
        <v>0</v>
      </c>
    </row>
    <row r="305" spans="1:13" s="45" customFormat="1" ht="30" x14ac:dyDescent="0.3">
      <c r="A305" s="433"/>
      <c r="B305" s="491"/>
      <c r="C305" s="101" t="s">
        <v>98</v>
      </c>
      <c r="D305" s="61"/>
      <c r="E305" s="65">
        <v>0</v>
      </c>
      <c r="F305" s="65">
        <v>0</v>
      </c>
      <c r="G305" s="65">
        <v>0</v>
      </c>
      <c r="H305" s="65">
        <v>0</v>
      </c>
      <c r="I305" s="64">
        <v>0</v>
      </c>
      <c r="J305" s="64">
        <v>0</v>
      </c>
      <c r="K305" s="64">
        <v>0</v>
      </c>
      <c r="L305" s="64">
        <v>0</v>
      </c>
      <c r="M305" s="65">
        <v>0</v>
      </c>
    </row>
    <row r="306" spans="1:13" s="45" customFormat="1" ht="18.75" customHeight="1" x14ac:dyDescent="0.3">
      <c r="A306" s="553" t="s">
        <v>262</v>
      </c>
      <c r="B306" s="491" t="s">
        <v>73</v>
      </c>
      <c r="C306" s="29" t="s">
        <v>27</v>
      </c>
      <c r="D306" s="61">
        <v>755</v>
      </c>
      <c r="E306" s="62">
        <f t="shared" ref="E306:L306" si="53">SUM(E307:E312)</f>
        <v>500</v>
      </c>
      <c r="F306" s="63">
        <f t="shared" si="53"/>
        <v>0</v>
      </c>
      <c r="G306" s="63">
        <f t="shared" si="53"/>
        <v>0</v>
      </c>
      <c r="H306" s="63">
        <f t="shared" si="53"/>
        <v>0</v>
      </c>
      <c r="I306" s="62">
        <f t="shared" si="53"/>
        <v>0</v>
      </c>
      <c r="J306" s="62">
        <f t="shared" si="53"/>
        <v>0</v>
      </c>
      <c r="K306" s="63">
        <f t="shared" si="53"/>
        <v>0</v>
      </c>
      <c r="L306" s="63">
        <f t="shared" si="53"/>
        <v>0</v>
      </c>
      <c r="M306" s="63">
        <f>SUM(E306:I306)</f>
        <v>500</v>
      </c>
    </row>
    <row r="307" spans="1:13" s="45" customFormat="1" ht="30" customHeight="1" x14ac:dyDescent="0.3">
      <c r="A307" s="553"/>
      <c r="B307" s="491"/>
      <c r="C307" s="109" t="s">
        <v>93</v>
      </c>
      <c r="D307" s="61"/>
      <c r="E307" s="68">
        <v>0</v>
      </c>
      <c r="F307" s="65">
        <v>0</v>
      </c>
      <c r="G307" s="65">
        <v>0</v>
      </c>
      <c r="H307" s="65">
        <v>0</v>
      </c>
      <c r="I307" s="64">
        <v>0</v>
      </c>
      <c r="J307" s="65">
        <v>0</v>
      </c>
      <c r="K307" s="64">
        <v>0</v>
      </c>
      <c r="L307" s="65">
        <v>0</v>
      </c>
      <c r="M307" s="65">
        <f>SUM(E307:I307)</f>
        <v>0</v>
      </c>
    </row>
    <row r="308" spans="1:13" s="45" customFormat="1" ht="18.75" customHeight="1" x14ac:dyDescent="0.3">
      <c r="A308" s="553"/>
      <c r="B308" s="491"/>
      <c r="C308" s="31" t="s">
        <v>94</v>
      </c>
      <c r="D308" s="61">
        <v>755</v>
      </c>
      <c r="E308" s="64">
        <f>'Приложение 5'!H133</f>
        <v>500</v>
      </c>
      <c r="F308" s="65">
        <f>'Приложение 5'!I133</f>
        <v>0</v>
      </c>
      <c r="G308" s="65">
        <f>'Приложение 5'!J133</f>
        <v>0</v>
      </c>
      <c r="H308" s="65">
        <f>'Приложение 5'!K133</f>
        <v>0</v>
      </c>
      <c r="I308" s="64">
        <f>'Приложение 5'!L133</f>
        <v>0</v>
      </c>
      <c r="J308" s="64">
        <f>'Приложение 5'!M133</f>
        <v>0</v>
      </c>
      <c r="K308" s="65">
        <f>'Приложение 5'!N133</f>
        <v>0</v>
      </c>
      <c r="L308" s="65">
        <f>'Приложение 5'!O133</f>
        <v>0</v>
      </c>
      <c r="M308" s="65">
        <f>'Приложение 5'!P133</f>
        <v>500</v>
      </c>
    </row>
    <row r="309" spans="1:13" s="45" customFormat="1" ht="47.1" customHeight="1" x14ac:dyDescent="0.3">
      <c r="A309" s="553"/>
      <c r="B309" s="491"/>
      <c r="C309" s="32" t="s">
        <v>95</v>
      </c>
      <c r="D309" s="61"/>
      <c r="E309" s="64">
        <v>0</v>
      </c>
      <c r="F309" s="65">
        <v>0</v>
      </c>
      <c r="G309" s="65">
        <v>0</v>
      </c>
      <c r="H309" s="65">
        <v>0</v>
      </c>
      <c r="I309" s="64">
        <v>0</v>
      </c>
      <c r="J309" s="64">
        <v>0</v>
      </c>
      <c r="K309" s="64">
        <v>0</v>
      </c>
      <c r="L309" s="64">
        <v>0</v>
      </c>
      <c r="M309" s="65">
        <f>SUM(E309:I309)</f>
        <v>0</v>
      </c>
    </row>
    <row r="310" spans="1:13" s="45" customFormat="1" ht="63" customHeight="1" x14ac:dyDescent="0.3">
      <c r="A310" s="553"/>
      <c r="B310" s="491"/>
      <c r="C310" s="30" t="s">
        <v>96</v>
      </c>
      <c r="D310" s="61"/>
      <c r="E310" s="65">
        <v>0</v>
      </c>
      <c r="F310" s="65">
        <v>0</v>
      </c>
      <c r="G310" s="65">
        <v>0</v>
      </c>
      <c r="H310" s="65">
        <v>0</v>
      </c>
      <c r="I310" s="64">
        <v>0</v>
      </c>
      <c r="J310" s="64">
        <v>0</v>
      </c>
      <c r="K310" s="64">
        <v>0</v>
      </c>
      <c r="L310" s="64">
        <v>0</v>
      </c>
      <c r="M310" s="65">
        <v>0</v>
      </c>
    </row>
    <row r="311" spans="1:13" s="45" customFormat="1" ht="63.95" customHeight="1" x14ac:dyDescent="0.3">
      <c r="A311" s="553"/>
      <c r="B311" s="491"/>
      <c r="C311" s="30" t="s">
        <v>97</v>
      </c>
      <c r="D311" s="61"/>
      <c r="E311" s="65">
        <v>0</v>
      </c>
      <c r="F311" s="65">
        <v>0</v>
      </c>
      <c r="G311" s="65">
        <v>0</v>
      </c>
      <c r="H311" s="65">
        <v>0</v>
      </c>
      <c r="I311" s="64">
        <v>0</v>
      </c>
      <c r="J311" s="64">
        <v>0</v>
      </c>
      <c r="K311" s="64">
        <v>0</v>
      </c>
      <c r="L311" s="64">
        <v>0</v>
      </c>
      <c r="M311" s="65">
        <v>0</v>
      </c>
    </row>
    <row r="312" spans="1:13" s="45" customFormat="1" ht="30" x14ac:dyDescent="0.3">
      <c r="A312" s="553"/>
      <c r="B312" s="491"/>
      <c r="C312" s="101" t="s">
        <v>98</v>
      </c>
      <c r="D312" s="61"/>
      <c r="E312" s="65">
        <v>0</v>
      </c>
      <c r="F312" s="65">
        <v>0</v>
      </c>
      <c r="G312" s="65">
        <v>0</v>
      </c>
      <c r="H312" s="65">
        <v>0</v>
      </c>
      <c r="I312" s="64">
        <v>0</v>
      </c>
      <c r="J312" s="64">
        <v>0</v>
      </c>
      <c r="K312" s="64">
        <v>0</v>
      </c>
      <c r="L312" s="64">
        <v>0</v>
      </c>
      <c r="M312" s="65">
        <v>0</v>
      </c>
    </row>
    <row r="313" spans="1:13" s="45" customFormat="1" ht="18.75" customHeight="1" x14ac:dyDescent="0.3">
      <c r="A313" s="433" t="s">
        <v>263</v>
      </c>
      <c r="B313" s="547" t="s">
        <v>74</v>
      </c>
      <c r="C313" s="29" t="s">
        <v>27</v>
      </c>
      <c r="D313" s="61">
        <v>755</v>
      </c>
      <c r="E313" s="62">
        <f>SUM(E314:E319)</f>
        <v>80</v>
      </c>
      <c r="F313" s="63">
        <f>SUM(F314:F319)</f>
        <v>0</v>
      </c>
      <c r="G313" s="63">
        <f>SUM(G314:G319)</f>
        <v>0</v>
      </c>
      <c r="H313" s="63">
        <f>H314+H315+H316+H317+H318+H319</f>
        <v>0</v>
      </c>
      <c r="I313" s="62">
        <f>I314+I315+I316+I317+I318+I319</f>
        <v>0</v>
      </c>
      <c r="J313" s="62">
        <f>SUM(J314:J319)</f>
        <v>0</v>
      </c>
      <c r="K313" s="63">
        <f>SUM(K314:K319)</f>
        <v>0</v>
      </c>
      <c r="L313" s="63">
        <f>SUM(L314:L319)</f>
        <v>0</v>
      </c>
      <c r="M313" s="63">
        <f>SUM(E313:I313)</f>
        <v>80</v>
      </c>
    </row>
    <row r="314" spans="1:13" s="45" customFormat="1" ht="30" customHeight="1" x14ac:dyDescent="0.3">
      <c r="A314" s="433"/>
      <c r="B314" s="547"/>
      <c r="C314" s="59" t="s">
        <v>93</v>
      </c>
      <c r="D314" s="61"/>
      <c r="E314" s="68">
        <v>0</v>
      </c>
      <c r="F314" s="65">
        <v>0</v>
      </c>
      <c r="G314" s="65">
        <v>0</v>
      </c>
      <c r="H314" s="65">
        <v>0</v>
      </c>
      <c r="I314" s="64">
        <v>0</v>
      </c>
      <c r="J314" s="65">
        <v>0</v>
      </c>
      <c r="K314" s="64">
        <v>0</v>
      </c>
      <c r="L314" s="65">
        <v>0</v>
      </c>
      <c r="M314" s="65">
        <f>SUM(E314:I314)</f>
        <v>0</v>
      </c>
    </row>
    <row r="315" spans="1:13" s="45" customFormat="1" ht="18.75" customHeight="1" x14ac:dyDescent="0.3">
      <c r="A315" s="433"/>
      <c r="B315" s="547"/>
      <c r="C315" s="31" t="s">
        <v>94</v>
      </c>
      <c r="D315" s="61">
        <v>755</v>
      </c>
      <c r="E315" s="64">
        <f>'Приложение 5'!H134</f>
        <v>80</v>
      </c>
      <c r="F315" s="65">
        <f>'Приложение 5'!I134</f>
        <v>0</v>
      </c>
      <c r="G315" s="65">
        <f>'Приложение 5'!J134</f>
        <v>0</v>
      </c>
      <c r="H315" s="65">
        <f>'Приложение 5'!K134</f>
        <v>0</v>
      </c>
      <c r="I315" s="64">
        <f>'Приложение 5'!L134</f>
        <v>0</v>
      </c>
      <c r="J315" s="64">
        <f>'Приложение 5'!M134</f>
        <v>0</v>
      </c>
      <c r="K315" s="65">
        <f>'Приложение 5'!N134</f>
        <v>0</v>
      </c>
      <c r="L315" s="65">
        <f>'Приложение 5'!O134</f>
        <v>0</v>
      </c>
      <c r="M315" s="65">
        <f>'Приложение 5'!P134</f>
        <v>80</v>
      </c>
    </row>
    <row r="316" spans="1:13" s="45" customFormat="1" ht="47.1" customHeight="1" x14ac:dyDescent="0.3">
      <c r="A316" s="433"/>
      <c r="B316" s="547"/>
      <c r="C316" s="32" t="s">
        <v>95</v>
      </c>
      <c r="D316" s="61"/>
      <c r="E316" s="64">
        <v>0</v>
      </c>
      <c r="F316" s="65">
        <v>0</v>
      </c>
      <c r="G316" s="65">
        <v>0</v>
      </c>
      <c r="H316" s="65">
        <v>0</v>
      </c>
      <c r="I316" s="64">
        <v>0</v>
      </c>
      <c r="J316" s="64">
        <v>0</v>
      </c>
      <c r="K316" s="64">
        <v>0</v>
      </c>
      <c r="L316" s="64">
        <v>0</v>
      </c>
      <c r="M316" s="65">
        <f>SUM(E316:I316)</f>
        <v>0</v>
      </c>
    </row>
    <row r="317" spans="1:13" s="45" customFormat="1" ht="63" customHeight="1" x14ac:dyDescent="0.3">
      <c r="A317" s="433"/>
      <c r="B317" s="547"/>
      <c r="C317" s="30" t="s">
        <v>96</v>
      </c>
      <c r="D317" s="61"/>
      <c r="E317" s="65">
        <v>0</v>
      </c>
      <c r="F317" s="65">
        <v>0</v>
      </c>
      <c r="G317" s="65">
        <v>0</v>
      </c>
      <c r="H317" s="65">
        <v>0</v>
      </c>
      <c r="I317" s="64">
        <v>0</v>
      </c>
      <c r="J317" s="64">
        <v>0</v>
      </c>
      <c r="K317" s="64">
        <v>0</v>
      </c>
      <c r="L317" s="64">
        <v>0</v>
      </c>
      <c r="M317" s="65">
        <v>0</v>
      </c>
    </row>
    <row r="318" spans="1:13" s="45" customFormat="1" ht="63.95" customHeight="1" x14ac:dyDescent="0.3">
      <c r="A318" s="433"/>
      <c r="B318" s="547"/>
      <c r="C318" s="30" t="s">
        <v>97</v>
      </c>
      <c r="D318" s="61"/>
      <c r="E318" s="65">
        <v>0</v>
      </c>
      <c r="F318" s="65">
        <v>0</v>
      </c>
      <c r="G318" s="65">
        <v>0</v>
      </c>
      <c r="H318" s="65">
        <v>0</v>
      </c>
      <c r="I318" s="64">
        <v>0</v>
      </c>
      <c r="J318" s="64">
        <v>0</v>
      </c>
      <c r="K318" s="64">
        <v>0</v>
      </c>
      <c r="L318" s="64">
        <v>0</v>
      </c>
      <c r="M318" s="65">
        <v>0</v>
      </c>
    </row>
    <row r="319" spans="1:13" s="45" customFormat="1" ht="30" x14ac:dyDescent="0.3">
      <c r="A319" s="433"/>
      <c r="B319" s="547"/>
      <c r="C319" s="101" t="s">
        <v>98</v>
      </c>
      <c r="D319" s="61"/>
      <c r="E319" s="65">
        <v>0</v>
      </c>
      <c r="F319" s="65">
        <v>0</v>
      </c>
      <c r="G319" s="65">
        <v>0</v>
      </c>
      <c r="H319" s="65">
        <v>0</v>
      </c>
      <c r="I319" s="64">
        <v>0</v>
      </c>
      <c r="J319" s="64">
        <v>0</v>
      </c>
      <c r="K319" s="64">
        <v>0</v>
      </c>
      <c r="L319" s="64">
        <v>0</v>
      </c>
      <c r="M319" s="65">
        <v>0</v>
      </c>
    </row>
    <row r="320" spans="1:13" s="45" customFormat="1" ht="18.75" customHeight="1" x14ac:dyDescent="0.3">
      <c r="A320" s="432" t="s">
        <v>132</v>
      </c>
      <c r="B320" s="493" t="s">
        <v>372</v>
      </c>
      <c r="C320" s="29" t="s">
        <v>27</v>
      </c>
      <c r="D320" s="61">
        <v>784</v>
      </c>
      <c r="E320" s="62">
        <f t="shared" ref="E320:M320" si="54">E322</f>
        <v>1580</v>
      </c>
      <c r="F320" s="63">
        <f t="shared" si="54"/>
        <v>0</v>
      </c>
      <c r="G320" s="63">
        <f t="shared" si="54"/>
        <v>0</v>
      </c>
      <c r="H320" s="63">
        <f t="shared" si="54"/>
        <v>0</v>
      </c>
      <c r="I320" s="62">
        <f t="shared" si="54"/>
        <v>0</v>
      </c>
      <c r="J320" s="62">
        <f t="shared" si="54"/>
        <v>0</v>
      </c>
      <c r="K320" s="62">
        <f t="shared" si="54"/>
        <v>0</v>
      </c>
      <c r="L320" s="62">
        <f t="shared" si="54"/>
        <v>0</v>
      </c>
      <c r="M320" s="63">
        <f t="shared" si="54"/>
        <v>1580</v>
      </c>
    </row>
    <row r="321" spans="1:13" s="45" customFormat="1" ht="30" customHeight="1" x14ac:dyDescent="0.3">
      <c r="A321" s="402"/>
      <c r="B321" s="393"/>
      <c r="C321" s="30" t="s">
        <v>93</v>
      </c>
      <c r="D321" s="61"/>
      <c r="E321" s="64">
        <v>0</v>
      </c>
      <c r="F321" s="64">
        <v>0</v>
      </c>
      <c r="G321" s="64">
        <v>0</v>
      </c>
      <c r="H321" s="64">
        <v>0</v>
      </c>
      <c r="I321" s="64">
        <v>0</v>
      </c>
      <c r="J321" s="64">
        <v>0</v>
      </c>
      <c r="K321" s="64">
        <v>0</v>
      </c>
      <c r="L321" s="64">
        <v>0</v>
      </c>
      <c r="M321" s="65">
        <v>0</v>
      </c>
    </row>
    <row r="322" spans="1:13" s="45" customFormat="1" ht="18.75" customHeight="1" x14ac:dyDescent="0.3">
      <c r="A322" s="402"/>
      <c r="B322" s="393"/>
      <c r="C322" s="31" t="s">
        <v>94</v>
      </c>
      <c r="D322" s="61">
        <v>784</v>
      </c>
      <c r="E322" s="64">
        <f>'Приложение 5'!H136</f>
        <v>1580</v>
      </c>
      <c r="F322" s="64">
        <f>'Приложение 5'!I136</f>
        <v>0</v>
      </c>
      <c r="G322" s="64">
        <f>'Приложение 5'!J136</f>
        <v>0</v>
      </c>
      <c r="H322" s="65">
        <f>'Приложение 5'!K135</f>
        <v>0</v>
      </c>
      <c r="I322" s="64">
        <f>'Приложение 5'!L135</f>
        <v>0</v>
      </c>
      <c r="J322" s="64">
        <f>'Приложение 5'!M135</f>
        <v>0</v>
      </c>
      <c r="K322" s="64">
        <f>'Приложение 5'!N135</f>
        <v>0</v>
      </c>
      <c r="L322" s="64">
        <f>'Приложение 5'!O135</f>
        <v>0</v>
      </c>
      <c r="M322" s="65">
        <f>'Приложение 5'!P135</f>
        <v>1580</v>
      </c>
    </row>
    <row r="323" spans="1:13" s="45" customFormat="1" ht="47.1" customHeight="1" x14ac:dyDescent="0.3">
      <c r="A323" s="402"/>
      <c r="B323" s="393"/>
      <c r="C323" s="32" t="s">
        <v>95</v>
      </c>
      <c r="D323" s="61"/>
      <c r="E323" s="64">
        <v>0</v>
      </c>
      <c r="F323" s="64">
        <v>0</v>
      </c>
      <c r="G323" s="64">
        <v>0</v>
      </c>
      <c r="H323" s="64">
        <v>0</v>
      </c>
      <c r="I323" s="64">
        <v>0</v>
      </c>
      <c r="J323" s="64">
        <v>0</v>
      </c>
      <c r="K323" s="64">
        <v>0</v>
      </c>
      <c r="L323" s="64">
        <v>0</v>
      </c>
      <c r="M323" s="65">
        <v>0</v>
      </c>
    </row>
    <row r="324" spans="1:13" s="45" customFormat="1" ht="63" customHeight="1" x14ac:dyDescent="0.3">
      <c r="A324" s="402"/>
      <c r="B324" s="393"/>
      <c r="C324" s="30" t="s">
        <v>96</v>
      </c>
      <c r="D324" s="61"/>
      <c r="E324" s="64">
        <v>0</v>
      </c>
      <c r="F324" s="64">
        <v>0</v>
      </c>
      <c r="G324" s="64">
        <v>0</v>
      </c>
      <c r="H324" s="64">
        <v>0</v>
      </c>
      <c r="I324" s="64">
        <v>0</v>
      </c>
      <c r="J324" s="64">
        <v>0</v>
      </c>
      <c r="K324" s="64">
        <v>0</v>
      </c>
      <c r="L324" s="64">
        <v>0</v>
      </c>
      <c r="M324" s="65">
        <v>0</v>
      </c>
    </row>
    <row r="325" spans="1:13" s="45" customFormat="1" ht="63.95" customHeight="1" x14ac:dyDescent="0.3">
      <c r="A325" s="402"/>
      <c r="B325" s="393"/>
      <c r="C325" s="30" t="s">
        <v>97</v>
      </c>
      <c r="D325" s="61"/>
      <c r="E325" s="64">
        <v>0</v>
      </c>
      <c r="F325" s="64">
        <v>0</v>
      </c>
      <c r="G325" s="64">
        <v>0</v>
      </c>
      <c r="H325" s="64">
        <v>0</v>
      </c>
      <c r="I325" s="64">
        <v>0</v>
      </c>
      <c r="J325" s="64">
        <v>0</v>
      </c>
      <c r="K325" s="64">
        <v>0</v>
      </c>
      <c r="L325" s="64">
        <v>0</v>
      </c>
      <c r="M325" s="65">
        <v>0</v>
      </c>
    </row>
    <row r="326" spans="1:13" s="45" customFormat="1" ht="30" x14ac:dyDescent="0.3">
      <c r="A326" s="403"/>
      <c r="B326" s="506"/>
      <c r="C326" s="101" t="s">
        <v>98</v>
      </c>
      <c r="D326" s="61"/>
      <c r="E326" s="64">
        <v>0</v>
      </c>
      <c r="F326" s="64">
        <v>0</v>
      </c>
      <c r="G326" s="64">
        <v>0</v>
      </c>
      <c r="H326" s="64">
        <v>0</v>
      </c>
      <c r="I326" s="64">
        <v>0</v>
      </c>
      <c r="J326" s="64">
        <v>0</v>
      </c>
      <c r="K326" s="64">
        <v>0</v>
      </c>
      <c r="L326" s="64">
        <v>0</v>
      </c>
      <c r="M326" s="65">
        <v>0</v>
      </c>
    </row>
    <row r="327" spans="1:13" ht="18.75" customHeight="1" x14ac:dyDescent="0.3">
      <c r="A327" s="433" t="s">
        <v>213</v>
      </c>
      <c r="B327" s="547" t="s">
        <v>106</v>
      </c>
      <c r="C327" s="29" t="s">
        <v>27</v>
      </c>
      <c r="D327" s="108">
        <v>784</v>
      </c>
      <c r="E327" s="62">
        <f t="shared" ref="E327:L327" si="55">SUM(E328:E333)</f>
        <v>1580</v>
      </c>
      <c r="F327" s="63">
        <f t="shared" si="55"/>
        <v>0</v>
      </c>
      <c r="G327" s="63">
        <f t="shared" si="55"/>
        <v>0</v>
      </c>
      <c r="H327" s="63">
        <f t="shared" si="55"/>
        <v>0</v>
      </c>
      <c r="I327" s="62">
        <f t="shared" si="55"/>
        <v>0</v>
      </c>
      <c r="J327" s="62">
        <f t="shared" si="55"/>
        <v>0</v>
      </c>
      <c r="K327" s="63">
        <f t="shared" si="55"/>
        <v>0</v>
      </c>
      <c r="L327" s="63">
        <f t="shared" si="55"/>
        <v>0</v>
      </c>
      <c r="M327" s="63">
        <f>SUM(E327:I327)</f>
        <v>1580</v>
      </c>
    </row>
    <row r="328" spans="1:13" ht="30" customHeight="1" x14ac:dyDescent="0.3">
      <c r="A328" s="433"/>
      <c r="B328" s="547"/>
      <c r="C328" s="30" t="s">
        <v>93</v>
      </c>
      <c r="D328" s="108"/>
      <c r="E328" s="68">
        <v>0</v>
      </c>
      <c r="F328" s="65">
        <v>0</v>
      </c>
      <c r="G328" s="65">
        <v>0</v>
      </c>
      <c r="H328" s="65">
        <v>0</v>
      </c>
      <c r="I328" s="64">
        <v>0</v>
      </c>
      <c r="J328" s="65">
        <v>0</v>
      </c>
      <c r="K328" s="64">
        <v>0</v>
      </c>
      <c r="L328" s="65">
        <v>0</v>
      </c>
      <c r="M328" s="65">
        <f>SUM(E328:I328)</f>
        <v>0</v>
      </c>
    </row>
    <row r="329" spans="1:13" ht="18.75" customHeight="1" x14ac:dyDescent="0.3">
      <c r="A329" s="433"/>
      <c r="B329" s="547"/>
      <c r="C329" s="31" t="s">
        <v>94</v>
      </c>
      <c r="D329" s="108">
        <v>784</v>
      </c>
      <c r="E329" s="64">
        <f>'Приложение 5'!H138</f>
        <v>1580</v>
      </c>
      <c r="F329" s="65">
        <f>'Приложение 5'!I139</f>
        <v>0</v>
      </c>
      <c r="G329" s="65">
        <f>'Приложение 5'!J139</f>
        <v>0</v>
      </c>
      <c r="H329" s="65">
        <f>'Приложение 5'!K140</f>
        <v>0</v>
      </c>
      <c r="I329" s="64">
        <f>'Приложение 5'!L140</f>
        <v>0</v>
      </c>
      <c r="J329" s="64">
        <f>'Приложение 5'!M140</f>
        <v>0</v>
      </c>
      <c r="K329" s="65">
        <f>'Приложение 5'!N140</f>
        <v>0</v>
      </c>
      <c r="L329" s="65">
        <f>'Приложение 5'!O140</f>
        <v>0</v>
      </c>
      <c r="M329" s="74">
        <f>SUM(E329:I329)</f>
        <v>1580</v>
      </c>
    </row>
    <row r="330" spans="1:13" ht="47.1" customHeight="1" x14ac:dyDescent="0.3">
      <c r="A330" s="433"/>
      <c r="B330" s="547"/>
      <c r="C330" s="32" t="s">
        <v>95</v>
      </c>
      <c r="D330" s="108"/>
      <c r="E330" s="64">
        <v>0</v>
      </c>
      <c r="F330" s="65">
        <v>0</v>
      </c>
      <c r="G330" s="65">
        <v>0</v>
      </c>
      <c r="H330" s="65">
        <v>0</v>
      </c>
      <c r="I330" s="64">
        <v>0</v>
      </c>
      <c r="J330" s="64">
        <v>0</v>
      </c>
      <c r="K330" s="64">
        <v>0</v>
      </c>
      <c r="L330" s="64">
        <v>0</v>
      </c>
      <c r="M330" s="65">
        <f>SUM(E330:I330)</f>
        <v>0</v>
      </c>
    </row>
    <row r="331" spans="1:13" ht="63" customHeight="1" x14ac:dyDescent="0.3">
      <c r="A331" s="433"/>
      <c r="B331" s="547"/>
      <c r="C331" s="30" t="s">
        <v>96</v>
      </c>
      <c r="D331" s="108"/>
      <c r="E331" s="65">
        <v>0</v>
      </c>
      <c r="F331" s="65">
        <v>0</v>
      </c>
      <c r="G331" s="65">
        <v>0</v>
      </c>
      <c r="H331" s="65">
        <v>0</v>
      </c>
      <c r="I331" s="64">
        <v>0</v>
      </c>
      <c r="J331" s="64">
        <v>0</v>
      </c>
      <c r="K331" s="64">
        <v>0</v>
      </c>
      <c r="L331" s="64">
        <v>0</v>
      </c>
      <c r="M331" s="65">
        <v>0</v>
      </c>
    </row>
    <row r="332" spans="1:13" ht="63.95" customHeight="1" x14ac:dyDescent="0.3">
      <c r="A332" s="433"/>
      <c r="B332" s="547"/>
      <c r="C332" s="30" t="s">
        <v>97</v>
      </c>
      <c r="D332" s="108"/>
      <c r="E332" s="65">
        <v>0</v>
      </c>
      <c r="F332" s="65">
        <v>0</v>
      </c>
      <c r="G332" s="65">
        <v>0</v>
      </c>
      <c r="H332" s="65">
        <v>0</v>
      </c>
      <c r="I332" s="64">
        <v>0</v>
      </c>
      <c r="J332" s="64">
        <v>0</v>
      </c>
      <c r="K332" s="64">
        <v>0</v>
      </c>
      <c r="L332" s="64">
        <v>0</v>
      </c>
      <c r="M332" s="65">
        <v>0</v>
      </c>
    </row>
    <row r="333" spans="1:13" ht="30" x14ac:dyDescent="0.3">
      <c r="A333" s="433"/>
      <c r="B333" s="547"/>
      <c r="C333" s="101" t="s">
        <v>98</v>
      </c>
      <c r="D333" s="108"/>
      <c r="E333" s="65">
        <v>0</v>
      </c>
      <c r="F333" s="65">
        <v>0</v>
      </c>
      <c r="G333" s="65">
        <v>0</v>
      </c>
      <c r="H333" s="65">
        <v>0</v>
      </c>
      <c r="I333" s="64">
        <v>0</v>
      </c>
      <c r="J333" s="64">
        <v>0</v>
      </c>
      <c r="K333" s="64">
        <v>0</v>
      </c>
      <c r="L333" s="64">
        <v>0</v>
      </c>
      <c r="M333" s="65">
        <v>0</v>
      </c>
    </row>
    <row r="334" spans="1:13" ht="18.75" customHeight="1" x14ac:dyDescent="0.3">
      <c r="A334" s="548" t="s">
        <v>26</v>
      </c>
      <c r="B334" s="568" t="s">
        <v>141</v>
      </c>
      <c r="C334" s="58" t="s">
        <v>27</v>
      </c>
      <c r="D334" s="95">
        <v>755</v>
      </c>
      <c r="E334" s="62">
        <f t="shared" ref="E334:L334" si="56">SUM(E335:E340)</f>
        <v>41082.01</v>
      </c>
      <c r="F334" s="62">
        <f t="shared" si="56"/>
        <v>42584.61</v>
      </c>
      <c r="G334" s="62">
        <f t="shared" si="56"/>
        <v>218673.38687999998</v>
      </c>
      <c r="H334" s="66">
        <f t="shared" si="56"/>
        <v>191467.16900000002</v>
      </c>
      <c r="I334" s="67">
        <f t="shared" si="56"/>
        <v>166202.01</v>
      </c>
      <c r="J334" s="62">
        <f t="shared" si="56"/>
        <v>164919.29</v>
      </c>
      <c r="K334" s="62">
        <f t="shared" si="56"/>
        <v>164919.29</v>
      </c>
      <c r="L334" s="62">
        <f t="shared" si="56"/>
        <v>164919.29</v>
      </c>
      <c r="M334" s="63">
        <f>SUM(E334:L334)</f>
        <v>1154767.0558800001</v>
      </c>
    </row>
    <row r="335" spans="1:13" ht="30" customHeight="1" x14ac:dyDescent="0.3">
      <c r="A335" s="481"/>
      <c r="B335" s="569"/>
      <c r="C335" s="59" t="s">
        <v>93</v>
      </c>
      <c r="D335" s="96"/>
      <c r="E335" s="68">
        <f>E349+E356</f>
        <v>0</v>
      </c>
      <c r="F335" s="70">
        <f>F349+F356</f>
        <v>0</v>
      </c>
      <c r="G335" s="70">
        <f>G349+G356+G384</f>
        <v>35200</v>
      </c>
      <c r="H335" s="86">
        <f>H349+H356</f>
        <v>0</v>
      </c>
      <c r="I335" s="87">
        <f>I349+I356</f>
        <v>0</v>
      </c>
      <c r="J335" s="86">
        <f>J349+J356</f>
        <v>0</v>
      </c>
      <c r="K335" s="87">
        <f>K349+K356</f>
        <v>0</v>
      </c>
      <c r="L335" s="86">
        <f>L349+L356</f>
        <v>0</v>
      </c>
      <c r="M335" s="65">
        <f>SUM(E335:I335)</f>
        <v>35200</v>
      </c>
    </row>
    <row r="336" spans="1:13" ht="18.75" customHeight="1" x14ac:dyDescent="0.3">
      <c r="A336" s="481"/>
      <c r="B336" s="569"/>
      <c r="C336" s="59" t="s">
        <v>94</v>
      </c>
      <c r="D336" s="96">
        <v>755</v>
      </c>
      <c r="E336" s="68">
        <f>'Приложение 5'!H141</f>
        <v>41082.01</v>
      </c>
      <c r="F336" s="70">
        <f>'Приложение 5'!I141</f>
        <v>42584.61</v>
      </c>
      <c r="G336" s="70">
        <f>'Приложение 5'!J141</f>
        <v>183473.38687999998</v>
      </c>
      <c r="H336" s="86">
        <f>'Приложение 5'!K141</f>
        <v>191467.16900000002</v>
      </c>
      <c r="I336" s="87">
        <f>'Приложение 5'!L141</f>
        <v>166202.01</v>
      </c>
      <c r="J336" s="68">
        <f>'Приложение 5'!M141</f>
        <v>164919.29</v>
      </c>
      <c r="K336" s="70">
        <f>'Приложение 5'!N141</f>
        <v>164919.29</v>
      </c>
      <c r="L336" s="70">
        <f>'Приложение 5'!O141</f>
        <v>164919.29</v>
      </c>
      <c r="M336" s="74">
        <f>SUM(E336:L336)</f>
        <v>1119567.0558800001</v>
      </c>
    </row>
    <row r="337" spans="1:13" ht="47.1" customHeight="1" x14ac:dyDescent="0.3">
      <c r="A337" s="481"/>
      <c r="B337" s="569"/>
      <c r="C337" s="59" t="s">
        <v>95</v>
      </c>
      <c r="D337" s="96"/>
      <c r="E337" s="68">
        <f t="shared" ref="E337:I338" si="57">E351+E358</f>
        <v>0</v>
      </c>
      <c r="F337" s="70">
        <f t="shared" si="57"/>
        <v>0</v>
      </c>
      <c r="G337" s="70">
        <f t="shared" si="57"/>
        <v>0</v>
      </c>
      <c r="H337" s="86">
        <f t="shared" si="57"/>
        <v>0</v>
      </c>
      <c r="I337" s="87">
        <f t="shared" si="57"/>
        <v>0</v>
      </c>
      <c r="J337" s="87">
        <f t="shared" ref="J337:L338" si="58">J351+J358</f>
        <v>0</v>
      </c>
      <c r="K337" s="87">
        <f t="shared" si="58"/>
        <v>0</v>
      </c>
      <c r="L337" s="87">
        <f t="shared" si="58"/>
        <v>0</v>
      </c>
      <c r="M337" s="65">
        <f>SUM(E337:I337)</f>
        <v>0</v>
      </c>
    </row>
    <row r="338" spans="1:13" ht="63" customHeight="1" x14ac:dyDescent="0.3">
      <c r="A338" s="481"/>
      <c r="B338" s="569"/>
      <c r="C338" s="60" t="s">
        <v>96</v>
      </c>
      <c r="D338" s="96"/>
      <c r="E338" s="68">
        <f t="shared" si="57"/>
        <v>0</v>
      </c>
      <c r="F338" s="70">
        <f t="shared" si="57"/>
        <v>0</v>
      </c>
      <c r="G338" s="70">
        <f t="shared" si="57"/>
        <v>0</v>
      </c>
      <c r="H338" s="86">
        <f t="shared" si="57"/>
        <v>0</v>
      </c>
      <c r="I338" s="87">
        <f t="shared" si="57"/>
        <v>0</v>
      </c>
      <c r="J338" s="87">
        <f t="shared" si="58"/>
        <v>0</v>
      </c>
      <c r="K338" s="87">
        <f t="shared" si="58"/>
        <v>0</v>
      </c>
      <c r="L338" s="87">
        <f t="shared" si="58"/>
        <v>0</v>
      </c>
      <c r="M338" s="86">
        <f>M352+M359</f>
        <v>0</v>
      </c>
    </row>
    <row r="339" spans="1:13" ht="63.95" customHeight="1" x14ac:dyDescent="0.3">
      <c r="A339" s="481"/>
      <c r="B339" s="569"/>
      <c r="C339" s="59" t="s">
        <v>97</v>
      </c>
      <c r="D339" s="96"/>
      <c r="E339" s="68">
        <v>0</v>
      </c>
      <c r="F339" s="70">
        <v>0</v>
      </c>
      <c r="G339" s="70">
        <v>0</v>
      </c>
      <c r="H339" s="86">
        <v>0</v>
      </c>
      <c r="I339" s="87">
        <v>0</v>
      </c>
      <c r="J339" s="86">
        <v>0</v>
      </c>
      <c r="K339" s="87">
        <v>0</v>
      </c>
      <c r="L339" s="86">
        <v>0</v>
      </c>
      <c r="M339" s="86">
        <v>0</v>
      </c>
    </row>
    <row r="340" spans="1:13" ht="30" x14ac:dyDescent="0.3">
      <c r="A340" s="549"/>
      <c r="B340" s="570"/>
      <c r="C340" s="59" t="s">
        <v>98</v>
      </c>
      <c r="D340" s="96"/>
      <c r="E340" s="68">
        <f t="shared" ref="E340:M340" si="59">E353+E360</f>
        <v>0</v>
      </c>
      <c r="F340" s="68">
        <f t="shared" si="59"/>
        <v>0</v>
      </c>
      <c r="G340" s="68">
        <f t="shared" si="59"/>
        <v>0</v>
      </c>
      <c r="H340" s="86">
        <f t="shared" si="59"/>
        <v>0</v>
      </c>
      <c r="I340" s="87">
        <f t="shared" si="59"/>
        <v>0</v>
      </c>
      <c r="J340" s="87">
        <f>J353+J360</f>
        <v>0</v>
      </c>
      <c r="K340" s="87">
        <f>K353+K360</f>
        <v>0</v>
      </c>
      <c r="L340" s="87">
        <f>L353+L360</f>
        <v>0</v>
      </c>
      <c r="M340" s="86">
        <f t="shared" si="59"/>
        <v>0</v>
      </c>
    </row>
    <row r="341" spans="1:13" ht="18.75" customHeight="1" x14ac:dyDescent="0.3">
      <c r="A341" s="548" t="s">
        <v>2</v>
      </c>
      <c r="B341" s="493" t="s">
        <v>373</v>
      </c>
      <c r="C341" s="58" t="s">
        <v>27</v>
      </c>
      <c r="D341" s="96">
        <v>755</v>
      </c>
      <c r="E341" s="88">
        <f>SUM(E342:E347)</f>
        <v>41082.01</v>
      </c>
      <c r="F341" s="88">
        <f t="shared" ref="F341:L341" si="60">SUM(F342:F347)</f>
        <v>39011.83</v>
      </c>
      <c r="G341" s="88">
        <f t="shared" si="60"/>
        <v>33744.9</v>
      </c>
      <c r="H341" s="88">
        <f t="shared" si="60"/>
        <v>32421.067770000001</v>
      </c>
      <c r="I341" s="88">
        <f t="shared" si="60"/>
        <v>30906.04</v>
      </c>
      <c r="J341" s="88">
        <f t="shared" si="60"/>
        <v>29623.32</v>
      </c>
      <c r="K341" s="88">
        <f t="shared" si="60"/>
        <v>29623.32</v>
      </c>
      <c r="L341" s="88">
        <f t="shared" si="60"/>
        <v>29623.32</v>
      </c>
      <c r="M341" s="90">
        <f>SUM(E341:L341)</f>
        <v>266035.80777000001</v>
      </c>
    </row>
    <row r="342" spans="1:13" ht="30" customHeight="1" x14ac:dyDescent="0.3">
      <c r="A342" s="481"/>
      <c r="B342" s="393"/>
      <c r="C342" s="59" t="s">
        <v>93</v>
      </c>
      <c r="D342" s="96"/>
      <c r="E342" s="68">
        <v>0</v>
      </c>
      <c r="F342" s="68">
        <v>0</v>
      </c>
      <c r="G342" s="68">
        <v>0</v>
      </c>
      <c r="H342" s="68">
        <v>0</v>
      </c>
      <c r="I342" s="68">
        <v>0</v>
      </c>
      <c r="J342" s="68">
        <v>0</v>
      </c>
      <c r="K342" s="68">
        <v>0</v>
      </c>
      <c r="L342" s="68">
        <v>0</v>
      </c>
      <c r="M342" s="85">
        <v>0</v>
      </c>
    </row>
    <row r="343" spans="1:13" ht="18.75" customHeight="1" x14ac:dyDescent="0.3">
      <c r="A343" s="481"/>
      <c r="B343" s="393"/>
      <c r="C343" s="59" t="s">
        <v>94</v>
      </c>
      <c r="D343" s="96">
        <v>755</v>
      </c>
      <c r="E343" s="68">
        <f>'Приложение 5'!H145</f>
        <v>41082.01</v>
      </c>
      <c r="F343" s="68">
        <f>'Приложение 5'!I145</f>
        <v>39011.83</v>
      </c>
      <c r="G343" s="68">
        <f>'Приложение 5'!J145</f>
        <v>33744.9</v>
      </c>
      <c r="H343" s="86">
        <f>'Приложение 5'!K144</f>
        <v>32421.067770000001</v>
      </c>
      <c r="I343" s="87">
        <f>'Приложение 5'!L144</f>
        <v>30906.04</v>
      </c>
      <c r="J343" s="87">
        <f>'Приложение 5'!M144</f>
        <v>29623.32</v>
      </c>
      <c r="K343" s="87">
        <f>'Приложение 5'!N144</f>
        <v>29623.32</v>
      </c>
      <c r="L343" s="87">
        <f>'Приложение 5'!O144</f>
        <v>29623.32</v>
      </c>
      <c r="M343" s="86">
        <f>'Приложение 5'!P144</f>
        <v>266035.80777000001</v>
      </c>
    </row>
    <row r="344" spans="1:13" ht="47.1" customHeight="1" x14ac:dyDescent="0.3">
      <c r="A344" s="481"/>
      <c r="B344" s="393"/>
      <c r="C344" s="59" t="s">
        <v>95</v>
      </c>
      <c r="D344" s="96"/>
      <c r="E344" s="68">
        <v>0</v>
      </c>
      <c r="F344" s="68">
        <v>0</v>
      </c>
      <c r="G344" s="68">
        <v>0</v>
      </c>
      <c r="H344" s="68">
        <v>0</v>
      </c>
      <c r="I344" s="68">
        <v>0</v>
      </c>
      <c r="J344" s="68">
        <v>0</v>
      </c>
      <c r="K344" s="68">
        <v>0</v>
      </c>
      <c r="L344" s="68">
        <v>0</v>
      </c>
      <c r="M344" s="85">
        <v>0</v>
      </c>
    </row>
    <row r="345" spans="1:13" ht="63" customHeight="1" x14ac:dyDescent="0.3">
      <c r="A345" s="481"/>
      <c r="B345" s="393"/>
      <c r="C345" s="60" t="s">
        <v>96</v>
      </c>
      <c r="D345" s="96"/>
      <c r="E345" s="68">
        <v>0</v>
      </c>
      <c r="F345" s="68">
        <v>0</v>
      </c>
      <c r="G345" s="68">
        <v>0</v>
      </c>
      <c r="H345" s="68">
        <v>0</v>
      </c>
      <c r="I345" s="68">
        <v>0</v>
      </c>
      <c r="J345" s="68">
        <v>0</v>
      </c>
      <c r="K345" s="68">
        <v>0</v>
      </c>
      <c r="L345" s="68">
        <v>0</v>
      </c>
      <c r="M345" s="85">
        <v>0</v>
      </c>
    </row>
    <row r="346" spans="1:13" ht="63.95" customHeight="1" x14ac:dyDescent="0.3">
      <c r="A346" s="481"/>
      <c r="B346" s="393"/>
      <c r="C346" s="59" t="s">
        <v>97</v>
      </c>
      <c r="D346" s="96"/>
      <c r="E346" s="68">
        <v>0</v>
      </c>
      <c r="F346" s="68">
        <v>0</v>
      </c>
      <c r="G346" s="68">
        <v>0</v>
      </c>
      <c r="H346" s="68">
        <v>0</v>
      </c>
      <c r="I346" s="68">
        <v>0</v>
      </c>
      <c r="J346" s="68">
        <v>0</v>
      </c>
      <c r="K346" s="68">
        <v>0</v>
      </c>
      <c r="L346" s="68">
        <v>0</v>
      </c>
      <c r="M346" s="85">
        <v>0</v>
      </c>
    </row>
    <row r="347" spans="1:13" ht="30" x14ac:dyDescent="0.3">
      <c r="A347" s="549"/>
      <c r="B347" s="506"/>
      <c r="C347" s="59" t="s">
        <v>98</v>
      </c>
      <c r="D347" s="96"/>
      <c r="E347" s="68">
        <v>0</v>
      </c>
      <c r="F347" s="68">
        <v>0</v>
      </c>
      <c r="G347" s="68">
        <v>0</v>
      </c>
      <c r="H347" s="68">
        <v>0</v>
      </c>
      <c r="I347" s="68">
        <v>0</v>
      </c>
      <c r="J347" s="68">
        <v>0</v>
      </c>
      <c r="K347" s="68">
        <v>0</v>
      </c>
      <c r="L347" s="68">
        <v>0</v>
      </c>
      <c r="M347" s="85">
        <v>0</v>
      </c>
    </row>
    <row r="348" spans="1:13" ht="18.75" customHeight="1" x14ac:dyDescent="0.3">
      <c r="A348" s="433" t="s">
        <v>214</v>
      </c>
      <c r="B348" s="547" t="s">
        <v>69</v>
      </c>
      <c r="C348" s="29" t="s">
        <v>27</v>
      </c>
      <c r="D348" s="61">
        <v>755</v>
      </c>
      <c r="E348" s="62">
        <f t="shared" ref="E348:L348" si="61">SUM(E349:E354)</f>
        <v>39059.11</v>
      </c>
      <c r="F348" s="63">
        <f t="shared" si="61"/>
        <v>39011.83</v>
      </c>
      <c r="G348" s="63">
        <f t="shared" si="61"/>
        <v>32462.18</v>
      </c>
      <c r="H348" s="63">
        <f t="shared" si="61"/>
        <v>29519.620999999999</v>
      </c>
      <c r="I348" s="62">
        <f t="shared" si="61"/>
        <v>29523.32</v>
      </c>
      <c r="J348" s="62">
        <f t="shared" si="61"/>
        <v>29523.32</v>
      </c>
      <c r="K348" s="63">
        <f t="shared" si="61"/>
        <v>29523.32</v>
      </c>
      <c r="L348" s="63">
        <f t="shared" si="61"/>
        <v>29523.32</v>
      </c>
      <c r="M348" s="63">
        <f>SUM(E348:L348)</f>
        <v>258146.02100000001</v>
      </c>
    </row>
    <row r="349" spans="1:13" ht="30" customHeight="1" x14ac:dyDescent="0.3">
      <c r="A349" s="433"/>
      <c r="B349" s="547"/>
      <c r="C349" s="30" t="s">
        <v>93</v>
      </c>
      <c r="D349" s="61"/>
      <c r="E349" s="68">
        <v>0</v>
      </c>
      <c r="F349" s="65">
        <v>0</v>
      </c>
      <c r="G349" s="65">
        <v>0</v>
      </c>
      <c r="H349" s="65">
        <v>0</v>
      </c>
      <c r="I349" s="64">
        <v>0</v>
      </c>
      <c r="J349" s="65">
        <v>0</v>
      </c>
      <c r="K349" s="64">
        <v>0</v>
      </c>
      <c r="L349" s="65">
        <v>0</v>
      </c>
      <c r="M349" s="65">
        <f>SUM(E349:I349)</f>
        <v>0</v>
      </c>
    </row>
    <row r="350" spans="1:13" ht="18.75" customHeight="1" x14ac:dyDescent="0.3">
      <c r="A350" s="433"/>
      <c r="B350" s="547"/>
      <c r="C350" s="31" t="s">
        <v>94</v>
      </c>
      <c r="D350" s="61">
        <v>755</v>
      </c>
      <c r="E350" s="64">
        <f>'Приложение 5'!H147</f>
        <v>39059.11</v>
      </c>
      <c r="F350" s="65">
        <f>'Приложение 5'!I148</f>
        <v>39011.83</v>
      </c>
      <c r="G350" s="65">
        <f>'Приложение 5'!J148</f>
        <v>32462.18</v>
      </c>
      <c r="H350" s="65">
        <f>'Приложение 5'!K149</f>
        <v>29519.620999999999</v>
      </c>
      <c r="I350" s="64">
        <f>'Приложение 5'!L149</f>
        <v>29523.32</v>
      </c>
      <c r="J350" s="64">
        <f>'Приложение 5'!M149</f>
        <v>29523.32</v>
      </c>
      <c r="K350" s="65">
        <f>'Приложение 5'!N149</f>
        <v>29523.32</v>
      </c>
      <c r="L350" s="65">
        <f>'Приложение 5'!O149</f>
        <v>29523.32</v>
      </c>
      <c r="M350" s="74">
        <f>SUM(E350:L350)</f>
        <v>258146.02100000001</v>
      </c>
    </row>
    <row r="351" spans="1:13" ht="47.1" customHeight="1" x14ac:dyDescent="0.3">
      <c r="A351" s="433"/>
      <c r="B351" s="547"/>
      <c r="C351" s="32" t="s">
        <v>95</v>
      </c>
      <c r="D351" s="61"/>
      <c r="E351" s="64">
        <v>0</v>
      </c>
      <c r="F351" s="65">
        <v>0</v>
      </c>
      <c r="G351" s="65">
        <v>0</v>
      </c>
      <c r="H351" s="65">
        <v>0</v>
      </c>
      <c r="I351" s="64">
        <v>0</v>
      </c>
      <c r="J351" s="64">
        <v>0</v>
      </c>
      <c r="K351" s="64">
        <v>0</v>
      </c>
      <c r="L351" s="64">
        <v>0</v>
      </c>
      <c r="M351" s="65">
        <f>SUM(E351:I351)</f>
        <v>0</v>
      </c>
    </row>
    <row r="352" spans="1:13" ht="63" customHeight="1" x14ac:dyDescent="0.3">
      <c r="A352" s="433"/>
      <c r="B352" s="547"/>
      <c r="C352" s="30" t="s">
        <v>96</v>
      </c>
      <c r="D352" s="61"/>
      <c r="E352" s="65">
        <v>0</v>
      </c>
      <c r="F352" s="65">
        <v>0</v>
      </c>
      <c r="G352" s="65">
        <v>0</v>
      </c>
      <c r="H352" s="65">
        <v>0</v>
      </c>
      <c r="I352" s="64">
        <v>0</v>
      </c>
      <c r="J352" s="64">
        <v>0</v>
      </c>
      <c r="K352" s="64">
        <v>0</v>
      </c>
      <c r="L352" s="64">
        <v>0</v>
      </c>
      <c r="M352" s="65">
        <v>0</v>
      </c>
    </row>
    <row r="353" spans="1:13" ht="63.95" customHeight="1" x14ac:dyDescent="0.3">
      <c r="A353" s="433"/>
      <c r="B353" s="547"/>
      <c r="C353" s="30" t="s">
        <v>97</v>
      </c>
      <c r="D353" s="61"/>
      <c r="E353" s="65">
        <v>0</v>
      </c>
      <c r="F353" s="65">
        <v>0</v>
      </c>
      <c r="G353" s="65">
        <v>0</v>
      </c>
      <c r="H353" s="65">
        <v>0</v>
      </c>
      <c r="I353" s="64">
        <v>0</v>
      </c>
      <c r="J353" s="64">
        <v>0</v>
      </c>
      <c r="K353" s="64">
        <v>0</v>
      </c>
      <c r="L353" s="64">
        <v>0</v>
      </c>
      <c r="M353" s="65">
        <v>0</v>
      </c>
    </row>
    <row r="354" spans="1:13" ht="30" x14ac:dyDescent="0.3">
      <c r="A354" s="433"/>
      <c r="B354" s="547"/>
      <c r="C354" s="101" t="s">
        <v>98</v>
      </c>
      <c r="D354" s="61"/>
      <c r="E354" s="65">
        <v>0</v>
      </c>
      <c r="F354" s="65">
        <v>0</v>
      </c>
      <c r="G354" s="65">
        <v>0</v>
      </c>
      <c r="H354" s="65">
        <v>0</v>
      </c>
      <c r="I354" s="64">
        <v>0</v>
      </c>
      <c r="J354" s="64">
        <v>0</v>
      </c>
      <c r="K354" s="64">
        <v>0</v>
      </c>
      <c r="L354" s="64">
        <v>0</v>
      </c>
      <c r="M354" s="65">
        <v>0</v>
      </c>
    </row>
    <row r="355" spans="1:13" ht="18.75" customHeight="1" x14ac:dyDescent="0.3">
      <c r="A355" s="433" t="s">
        <v>215</v>
      </c>
      <c r="B355" s="547" t="s">
        <v>71</v>
      </c>
      <c r="C355" s="29" t="s">
        <v>27</v>
      </c>
      <c r="D355" s="61">
        <v>755</v>
      </c>
      <c r="E355" s="62">
        <f t="shared" ref="E355:L355" si="62">SUM(E356:E361)</f>
        <v>2022.9</v>
      </c>
      <c r="F355" s="63">
        <f t="shared" si="62"/>
        <v>0</v>
      </c>
      <c r="G355" s="63">
        <f t="shared" si="62"/>
        <v>1282.72</v>
      </c>
      <c r="H355" s="63">
        <f t="shared" si="62"/>
        <v>1301.44677</v>
      </c>
      <c r="I355" s="62">
        <f t="shared" si="62"/>
        <v>1282.72</v>
      </c>
      <c r="J355" s="62">
        <f t="shared" si="62"/>
        <v>0</v>
      </c>
      <c r="K355" s="63">
        <f t="shared" si="62"/>
        <v>0</v>
      </c>
      <c r="L355" s="63">
        <f t="shared" si="62"/>
        <v>0</v>
      </c>
      <c r="M355" s="63">
        <f>SUM(E355:L355)</f>
        <v>5889.7867699999997</v>
      </c>
    </row>
    <row r="356" spans="1:13" ht="30" customHeight="1" x14ac:dyDescent="0.3">
      <c r="A356" s="433"/>
      <c r="B356" s="547"/>
      <c r="C356" s="30" t="s">
        <v>93</v>
      </c>
      <c r="D356" s="61"/>
      <c r="E356" s="68">
        <v>0</v>
      </c>
      <c r="F356" s="65">
        <v>0</v>
      </c>
      <c r="G356" s="65">
        <v>0</v>
      </c>
      <c r="H356" s="65">
        <v>0</v>
      </c>
      <c r="I356" s="64">
        <v>0</v>
      </c>
      <c r="J356" s="65">
        <v>0</v>
      </c>
      <c r="K356" s="64">
        <v>0</v>
      </c>
      <c r="L356" s="65">
        <v>0</v>
      </c>
      <c r="M356" s="65">
        <f>SUM(E356:I356)</f>
        <v>0</v>
      </c>
    </row>
    <row r="357" spans="1:13" ht="18.75" customHeight="1" x14ac:dyDescent="0.3">
      <c r="A357" s="433"/>
      <c r="B357" s="547"/>
      <c r="C357" s="31" t="s">
        <v>94</v>
      </c>
      <c r="D357" s="61">
        <v>755</v>
      </c>
      <c r="E357" s="64">
        <f>'Приложение 5'!H150</f>
        <v>2022.9</v>
      </c>
      <c r="F357" s="65">
        <f>'Приложение 5'!I151</f>
        <v>0</v>
      </c>
      <c r="G357" s="65">
        <f>'Приложение 5'!J151</f>
        <v>1282.72</v>
      </c>
      <c r="H357" s="65">
        <f>'Приложение 5'!K153+'Приложение 5'!K152</f>
        <v>1301.44677</v>
      </c>
      <c r="I357" s="65">
        <f>'Приложение 5'!L153+'Приложение 5'!L152</f>
        <v>1282.72</v>
      </c>
      <c r="J357" s="65">
        <f>'Приложение 5'!M153+'Приложение 5'!M152</f>
        <v>0</v>
      </c>
      <c r="K357" s="65">
        <f>'Приложение 5'!N153+'Приложение 5'!N152</f>
        <v>0</v>
      </c>
      <c r="L357" s="65">
        <f>'Приложение 5'!O153+'Приложение 5'!O152</f>
        <v>0</v>
      </c>
      <c r="M357" s="74">
        <f>SUM(E357:L357)</f>
        <v>5889.7867699999997</v>
      </c>
    </row>
    <row r="358" spans="1:13" ht="47.1" customHeight="1" x14ac:dyDescent="0.3">
      <c r="A358" s="433"/>
      <c r="B358" s="547"/>
      <c r="C358" s="32" t="s">
        <v>95</v>
      </c>
      <c r="D358" s="61"/>
      <c r="E358" s="64">
        <v>0</v>
      </c>
      <c r="F358" s="65">
        <v>0</v>
      </c>
      <c r="G358" s="65">
        <v>0</v>
      </c>
      <c r="H358" s="65">
        <v>0</v>
      </c>
      <c r="I358" s="64">
        <v>0</v>
      </c>
      <c r="J358" s="64">
        <v>0</v>
      </c>
      <c r="K358" s="64">
        <v>0</v>
      </c>
      <c r="L358" s="64">
        <v>0</v>
      </c>
      <c r="M358" s="65">
        <f>SUM(E358:I358)</f>
        <v>0</v>
      </c>
    </row>
    <row r="359" spans="1:13" ht="63" customHeight="1" x14ac:dyDescent="0.3">
      <c r="A359" s="433"/>
      <c r="B359" s="547"/>
      <c r="C359" s="30" t="s">
        <v>96</v>
      </c>
      <c r="D359" s="61"/>
      <c r="E359" s="65">
        <v>0</v>
      </c>
      <c r="F359" s="65">
        <v>0</v>
      </c>
      <c r="G359" s="65">
        <v>0</v>
      </c>
      <c r="H359" s="65">
        <v>0</v>
      </c>
      <c r="I359" s="64">
        <v>0</v>
      </c>
      <c r="J359" s="64">
        <v>0</v>
      </c>
      <c r="K359" s="64">
        <v>0</v>
      </c>
      <c r="L359" s="64">
        <v>0</v>
      </c>
      <c r="M359" s="65">
        <v>0</v>
      </c>
    </row>
    <row r="360" spans="1:13" ht="63.95" customHeight="1" x14ac:dyDescent="0.3">
      <c r="A360" s="433"/>
      <c r="B360" s="547"/>
      <c r="C360" s="30" t="s">
        <v>97</v>
      </c>
      <c r="D360" s="61"/>
      <c r="E360" s="65">
        <v>0</v>
      </c>
      <c r="F360" s="65">
        <v>0</v>
      </c>
      <c r="G360" s="65">
        <v>0</v>
      </c>
      <c r="H360" s="65">
        <v>0</v>
      </c>
      <c r="I360" s="64">
        <v>0</v>
      </c>
      <c r="J360" s="64">
        <v>0</v>
      </c>
      <c r="K360" s="64">
        <v>0</v>
      </c>
      <c r="L360" s="64">
        <v>0</v>
      </c>
      <c r="M360" s="65">
        <v>0</v>
      </c>
    </row>
    <row r="361" spans="1:13" ht="30" x14ac:dyDescent="0.3">
      <c r="A361" s="433"/>
      <c r="B361" s="547"/>
      <c r="C361" s="101" t="s">
        <v>98</v>
      </c>
      <c r="D361" s="61"/>
      <c r="E361" s="65">
        <v>0</v>
      </c>
      <c r="F361" s="65">
        <v>0</v>
      </c>
      <c r="G361" s="65">
        <v>0</v>
      </c>
      <c r="H361" s="65">
        <v>0</v>
      </c>
      <c r="I361" s="64">
        <v>0</v>
      </c>
      <c r="J361" s="64">
        <v>0</v>
      </c>
      <c r="K361" s="64">
        <v>0</v>
      </c>
      <c r="L361" s="64">
        <v>0</v>
      </c>
      <c r="M361" s="65">
        <v>0</v>
      </c>
    </row>
    <row r="362" spans="1:13" ht="18.75" customHeight="1" x14ac:dyDescent="0.3">
      <c r="A362" s="433" t="s">
        <v>260</v>
      </c>
      <c r="B362" s="547" t="s">
        <v>319</v>
      </c>
      <c r="C362" s="29" t="s">
        <v>27</v>
      </c>
      <c r="D362" s="61">
        <v>755</v>
      </c>
      <c r="E362" s="62">
        <f t="shared" ref="E362:L362" si="63">SUM(E363:E368)</f>
        <v>0</v>
      </c>
      <c r="F362" s="63">
        <f t="shared" si="63"/>
        <v>0</v>
      </c>
      <c r="G362" s="63">
        <f t="shared" si="63"/>
        <v>0</v>
      </c>
      <c r="H362" s="63">
        <f t="shared" si="63"/>
        <v>100</v>
      </c>
      <c r="I362" s="62">
        <f t="shared" si="63"/>
        <v>100</v>
      </c>
      <c r="J362" s="62">
        <f t="shared" si="63"/>
        <v>100</v>
      </c>
      <c r="K362" s="63">
        <f t="shared" si="63"/>
        <v>100</v>
      </c>
      <c r="L362" s="63">
        <f t="shared" si="63"/>
        <v>100</v>
      </c>
      <c r="M362" s="63">
        <f>SUM(E362:L362)</f>
        <v>500</v>
      </c>
    </row>
    <row r="363" spans="1:13" ht="30" customHeight="1" x14ac:dyDescent="0.3">
      <c r="A363" s="433"/>
      <c r="B363" s="547"/>
      <c r="C363" s="30" t="s">
        <v>93</v>
      </c>
      <c r="D363" s="61"/>
      <c r="E363" s="68">
        <v>0</v>
      </c>
      <c r="F363" s="65">
        <v>0</v>
      </c>
      <c r="G363" s="65">
        <v>0</v>
      </c>
      <c r="H363" s="65">
        <v>0</v>
      </c>
      <c r="I363" s="64">
        <v>0</v>
      </c>
      <c r="J363" s="65">
        <v>0</v>
      </c>
      <c r="K363" s="64">
        <v>0</v>
      </c>
      <c r="L363" s="65">
        <v>0</v>
      </c>
      <c r="M363" s="65">
        <f>SUM(E363:I363)</f>
        <v>0</v>
      </c>
    </row>
    <row r="364" spans="1:13" ht="18.75" customHeight="1" x14ac:dyDescent="0.3">
      <c r="A364" s="433"/>
      <c r="B364" s="547"/>
      <c r="C364" s="31" t="s">
        <v>94</v>
      </c>
      <c r="D364" s="61">
        <v>755</v>
      </c>
      <c r="E364" s="64">
        <f>'Приложение 5'!H154</f>
        <v>0</v>
      </c>
      <c r="F364" s="64">
        <f>'Приложение 5'!I154</f>
        <v>0</v>
      </c>
      <c r="G364" s="64">
        <f>'Приложение 5'!J154</f>
        <v>0</v>
      </c>
      <c r="H364" s="64">
        <f>'Приложение 5'!K154</f>
        <v>100</v>
      </c>
      <c r="I364" s="64">
        <f>'Приложение 5'!L154</f>
        <v>100</v>
      </c>
      <c r="J364" s="64">
        <f>'Приложение 5'!M154</f>
        <v>100</v>
      </c>
      <c r="K364" s="64">
        <f>'Приложение 5'!N154</f>
        <v>100</v>
      </c>
      <c r="L364" s="64">
        <f>'Приложение 5'!O154</f>
        <v>100</v>
      </c>
      <c r="M364" s="65">
        <f>'Приложение 5'!P148</f>
        <v>0</v>
      </c>
    </row>
    <row r="365" spans="1:13" ht="47.1" customHeight="1" x14ac:dyDescent="0.3">
      <c r="A365" s="433"/>
      <c r="B365" s="547"/>
      <c r="C365" s="32" t="s">
        <v>95</v>
      </c>
      <c r="D365" s="61"/>
      <c r="E365" s="64">
        <v>0</v>
      </c>
      <c r="F365" s="65">
        <v>0</v>
      </c>
      <c r="G365" s="65">
        <v>0</v>
      </c>
      <c r="H365" s="65">
        <v>0</v>
      </c>
      <c r="I365" s="64">
        <v>0</v>
      </c>
      <c r="J365" s="64">
        <v>0</v>
      </c>
      <c r="K365" s="64">
        <v>0</v>
      </c>
      <c r="L365" s="64">
        <v>0</v>
      </c>
      <c r="M365" s="65">
        <f>SUM(E365:I365)</f>
        <v>0</v>
      </c>
    </row>
    <row r="366" spans="1:13" ht="63" customHeight="1" x14ac:dyDescent="0.3">
      <c r="A366" s="433"/>
      <c r="B366" s="547"/>
      <c r="C366" s="30" t="s">
        <v>96</v>
      </c>
      <c r="D366" s="61"/>
      <c r="E366" s="65">
        <v>0</v>
      </c>
      <c r="F366" s="65">
        <v>0</v>
      </c>
      <c r="G366" s="65">
        <v>0</v>
      </c>
      <c r="H366" s="65">
        <v>0</v>
      </c>
      <c r="I366" s="64">
        <v>0</v>
      </c>
      <c r="J366" s="64">
        <v>0</v>
      </c>
      <c r="K366" s="64">
        <v>0</v>
      </c>
      <c r="L366" s="64">
        <v>0</v>
      </c>
      <c r="M366" s="65">
        <v>0</v>
      </c>
    </row>
    <row r="367" spans="1:13" ht="63.95" customHeight="1" x14ac:dyDescent="0.3">
      <c r="A367" s="433"/>
      <c r="B367" s="547"/>
      <c r="C367" s="30" t="s">
        <v>97</v>
      </c>
      <c r="D367" s="61"/>
      <c r="E367" s="65">
        <v>0</v>
      </c>
      <c r="F367" s="65">
        <v>0</v>
      </c>
      <c r="G367" s="65">
        <v>0</v>
      </c>
      <c r="H367" s="65">
        <v>0</v>
      </c>
      <c r="I367" s="64">
        <v>0</v>
      </c>
      <c r="J367" s="64">
        <v>0</v>
      </c>
      <c r="K367" s="64">
        <v>0</v>
      </c>
      <c r="L367" s="64">
        <v>0</v>
      </c>
      <c r="M367" s="65">
        <v>0</v>
      </c>
    </row>
    <row r="368" spans="1:13" ht="30" x14ac:dyDescent="0.3">
      <c r="A368" s="433"/>
      <c r="B368" s="547"/>
      <c r="C368" s="101" t="s">
        <v>98</v>
      </c>
      <c r="D368" s="61"/>
      <c r="E368" s="65">
        <v>0</v>
      </c>
      <c r="F368" s="65">
        <v>0</v>
      </c>
      <c r="G368" s="65">
        <v>0</v>
      </c>
      <c r="H368" s="65">
        <v>0</v>
      </c>
      <c r="I368" s="64">
        <v>0</v>
      </c>
      <c r="J368" s="64">
        <v>0</v>
      </c>
      <c r="K368" s="64">
        <v>0</v>
      </c>
      <c r="L368" s="64">
        <v>0</v>
      </c>
      <c r="M368" s="65">
        <v>0</v>
      </c>
    </row>
    <row r="369" spans="1:13" ht="18.75" customHeight="1" x14ac:dyDescent="0.3">
      <c r="A369" s="433" t="s">
        <v>350</v>
      </c>
      <c r="B369" s="547" t="s">
        <v>356</v>
      </c>
      <c r="C369" s="29" t="s">
        <v>27</v>
      </c>
      <c r="D369" s="61">
        <v>755</v>
      </c>
      <c r="E369" s="62">
        <f t="shared" ref="E369:L369" si="64">SUM(E370:E375)</f>
        <v>0</v>
      </c>
      <c r="F369" s="63">
        <f t="shared" si="64"/>
        <v>0</v>
      </c>
      <c r="G369" s="63">
        <f t="shared" si="64"/>
        <v>0</v>
      </c>
      <c r="H369" s="63">
        <f t="shared" si="64"/>
        <v>1500</v>
      </c>
      <c r="I369" s="62">
        <f t="shared" si="64"/>
        <v>0</v>
      </c>
      <c r="J369" s="62">
        <f t="shared" si="64"/>
        <v>0</v>
      </c>
      <c r="K369" s="63">
        <f t="shared" si="64"/>
        <v>0</v>
      </c>
      <c r="L369" s="63">
        <f t="shared" si="64"/>
        <v>0</v>
      </c>
      <c r="M369" s="63">
        <f>SUM(E369:L369)</f>
        <v>1500</v>
      </c>
    </row>
    <row r="370" spans="1:13" ht="30" customHeight="1" x14ac:dyDescent="0.3">
      <c r="A370" s="433"/>
      <c r="B370" s="547"/>
      <c r="C370" s="30" t="s">
        <v>93</v>
      </c>
      <c r="D370" s="61"/>
      <c r="E370" s="68">
        <v>0</v>
      </c>
      <c r="F370" s="65">
        <v>0</v>
      </c>
      <c r="G370" s="65">
        <v>0</v>
      </c>
      <c r="H370" s="65">
        <v>0</v>
      </c>
      <c r="I370" s="64">
        <v>0</v>
      </c>
      <c r="J370" s="65">
        <v>0</v>
      </c>
      <c r="K370" s="64">
        <v>0</v>
      </c>
      <c r="L370" s="65">
        <v>0</v>
      </c>
      <c r="M370" s="65">
        <f>SUM(E370:I370)</f>
        <v>0</v>
      </c>
    </row>
    <row r="371" spans="1:13" ht="18.75" customHeight="1" x14ac:dyDescent="0.3">
      <c r="A371" s="433"/>
      <c r="B371" s="547"/>
      <c r="C371" s="31" t="s">
        <v>94</v>
      </c>
      <c r="D371" s="61">
        <v>755</v>
      </c>
      <c r="E371" s="64">
        <f>'Приложение 5'!H155</f>
        <v>0</v>
      </c>
      <c r="F371" s="64">
        <f>'Приложение 5'!I155</f>
        <v>0</v>
      </c>
      <c r="G371" s="64">
        <f>'Приложение 5'!J155</f>
        <v>0</v>
      </c>
      <c r="H371" s="64">
        <f>'Приложение 5'!K155</f>
        <v>1500</v>
      </c>
      <c r="I371" s="64">
        <f>'Приложение 5'!L155</f>
        <v>0</v>
      </c>
      <c r="J371" s="64">
        <f>'Приложение 5'!M155</f>
        <v>0</v>
      </c>
      <c r="K371" s="64">
        <f>'Приложение 5'!N155</f>
        <v>0</v>
      </c>
      <c r="L371" s="64">
        <f>'Приложение 5'!O155</f>
        <v>0</v>
      </c>
      <c r="M371" s="65">
        <f>'Приложение 5'!P155</f>
        <v>1500</v>
      </c>
    </row>
    <row r="372" spans="1:13" ht="45" x14ac:dyDescent="0.3">
      <c r="A372" s="433"/>
      <c r="B372" s="547"/>
      <c r="C372" s="32" t="s">
        <v>95</v>
      </c>
      <c r="D372" s="61"/>
      <c r="E372" s="64">
        <v>0</v>
      </c>
      <c r="F372" s="65">
        <v>0</v>
      </c>
      <c r="G372" s="65">
        <v>0</v>
      </c>
      <c r="H372" s="65">
        <v>0</v>
      </c>
      <c r="I372" s="64">
        <v>0</v>
      </c>
      <c r="J372" s="64">
        <v>0</v>
      </c>
      <c r="K372" s="64">
        <v>0</v>
      </c>
      <c r="L372" s="64">
        <v>0</v>
      </c>
      <c r="M372" s="65">
        <f>SUM(E372:I372)</f>
        <v>0</v>
      </c>
    </row>
    <row r="373" spans="1:13" ht="63" customHeight="1" x14ac:dyDescent="0.3">
      <c r="A373" s="433"/>
      <c r="B373" s="547"/>
      <c r="C373" s="30" t="s">
        <v>96</v>
      </c>
      <c r="D373" s="61"/>
      <c r="E373" s="65">
        <v>0</v>
      </c>
      <c r="F373" s="65">
        <v>0</v>
      </c>
      <c r="G373" s="65">
        <v>0</v>
      </c>
      <c r="H373" s="65">
        <v>0</v>
      </c>
      <c r="I373" s="64">
        <v>0</v>
      </c>
      <c r="J373" s="64">
        <v>0</v>
      </c>
      <c r="K373" s="64">
        <v>0</v>
      </c>
      <c r="L373" s="64">
        <v>0</v>
      </c>
      <c r="M373" s="65">
        <v>0</v>
      </c>
    </row>
    <row r="374" spans="1:13" ht="63.95" customHeight="1" x14ac:dyDescent="0.3">
      <c r="A374" s="433"/>
      <c r="B374" s="547"/>
      <c r="C374" s="30" t="s">
        <v>97</v>
      </c>
      <c r="D374" s="61"/>
      <c r="E374" s="65">
        <v>0</v>
      </c>
      <c r="F374" s="65">
        <v>0</v>
      </c>
      <c r="G374" s="65">
        <v>0</v>
      </c>
      <c r="H374" s="65">
        <v>0</v>
      </c>
      <c r="I374" s="64">
        <v>0</v>
      </c>
      <c r="J374" s="64">
        <v>0</v>
      </c>
      <c r="K374" s="64">
        <v>0</v>
      </c>
      <c r="L374" s="64">
        <v>0</v>
      </c>
      <c r="M374" s="65">
        <v>0</v>
      </c>
    </row>
    <row r="375" spans="1:13" ht="30" x14ac:dyDescent="0.3">
      <c r="A375" s="433"/>
      <c r="B375" s="547"/>
      <c r="C375" s="101" t="s">
        <v>98</v>
      </c>
      <c r="D375" s="61"/>
      <c r="E375" s="65">
        <v>0</v>
      </c>
      <c r="F375" s="65">
        <v>0</v>
      </c>
      <c r="G375" s="65">
        <v>0</v>
      </c>
      <c r="H375" s="65">
        <v>0</v>
      </c>
      <c r="I375" s="64">
        <v>0</v>
      </c>
      <c r="J375" s="64">
        <v>0</v>
      </c>
      <c r="K375" s="64">
        <v>0</v>
      </c>
      <c r="L375" s="64">
        <v>0</v>
      </c>
      <c r="M375" s="65">
        <v>0</v>
      </c>
    </row>
    <row r="376" spans="1:13" ht="18.75" customHeight="1" x14ac:dyDescent="0.3">
      <c r="A376" s="432" t="s">
        <v>3</v>
      </c>
      <c r="B376" s="493" t="s">
        <v>374</v>
      </c>
      <c r="C376" s="29" t="s">
        <v>27</v>
      </c>
      <c r="D376" s="110">
        <v>755</v>
      </c>
      <c r="E376" s="62">
        <f>SUM(E377:E382)</f>
        <v>0</v>
      </c>
      <c r="F376" s="62">
        <f t="shared" ref="F376:L376" si="65">SUM(F377:F382)</f>
        <v>3572.78</v>
      </c>
      <c r="G376" s="62">
        <f t="shared" si="65"/>
        <v>184928.48687999998</v>
      </c>
      <c r="H376" s="62">
        <f t="shared" si="65"/>
        <v>159046.10123000003</v>
      </c>
      <c r="I376" s="62">
        <f t="shared" si="65"/>
        <v>135295.97</v>
      </c>
      <c r="J376" s="62">
        <f t="shared" si="65"/>
        <v>135295.97</v>
      </c>
      <c r="K376" s="62">
        <f t="shared" si="65"/>
        <v>135295.97</v>
      </c>
      <c r="L376" s="62">
        <f t="shared" si="65"/>
        <v>135295.97</v>
      </c>
      <c r="M376" s="63">
        <f>SUM(E376:L376)</f>
        <v>888731.24810999993</v>
      </c>
    </row>
    <row r="377" spans="1:13" ht="30" customHeight="1" x14ac:dyDescent="0.3">
      <c r="A377" s="402"/>
      <c r="B377" s="393"/>
      <c r="C377" s="30" t="s">
        <v>93</v>
      </c>
      <c r="D377" s="110"/>
      <c r="E377" s="64">
        <f t="shared" ref="E377:M377" si="66">E384</f>
        <v>0</v>
      </c>
      <c r="F377" s="65">
        <f t="shared" si="66"/>
        <v>0</v>
      </c>
      <c r="G377" s="65">
        <f t="shared" si="66"/>
        <v>35200</v>
      </c>
      <c r="H377" s="65">
        <f t="shared" si="66"/>
        <v>0</v>
      </c>
      <c r="I377" s="64">
        <f t="shared" si="66"/>
        <v>0</v>
      </c>
      <c r="J377" s="64">
        <f t="shared" si="66"/>
        <v>0</v>
      </c>
      <c r="K377" s="64">
        <f t="shared" si="66"/>
        <v>0</v>
      </c>
      <c r="L377" s="64">
        <f t="shared" si="66"/>
        <v>0</v>
      </c>
      <c r="M377" s="65">
        <f t="shared" si="66"/>
        <v>35200</v>
      </c>
    </row>
    <row r="378" spans="1:13" ht="18.75" customHeight="1" x14ac:dyDescent="0.3">
      <c r="A378" s="402"/>
      <c r="B378" s="393"/>
      <c r="C378" s="31" t="s">
        <v>94</v>
      </c>
      <c r="D378" s="110">
        <v>755</v>
      </c>
      <c r="E378" s="64">
        <f>'Приложение 5'!H157</f>
        <v>0</v>
      </c>
      <c r="F378" s="64">
        <f>'Приложение 5'!I157</f>
        <v>3572.78</v>
      </c>
      <c r="G378" s="64">
        <f>'Приложение 5'!J157</f>
        <v>149728.48687999998</v>
      </c>
      <c r="H378" s="65">
        <f>'Приложение 5'!K156</f>
        <v>159046.10123000003</v>
      </c>
      <c r="I378" s="64">
        <f>'Приложение 5'!L156</f>
        <v>135295.97</v>
      </c>
      <c r="J378" s="64">
        <f>'Приложение 5'!M156</f>
        <v>135295.97</v>
      </c>
      <c r="K378" s="64">
        <f>'Приложение 5'!N156</f>
        <v>135295.97</v>
      </c>
      <c r="L378" s="64">
        <f>'Приложение 5'!O156</f>
        <v>135295.97</v>
      </c>
      <c r="M378" s="65">
        <f>SUM(E378:L378)</f>
        <v>853531.24810999993</v>
      </c>
    </row>
    <row r="379" spans="1:13" ht="47.1" customHeight="1" x14ac:dyDescent="0.3">
      <c r="A379" s="402"/>
      <c r="B379" s="393"/>
      <c r="C379" s="32" t="s">
        <v>95</v>
      </c>
      <c r="D379" s="110"/>
      <c r="E379" s="64">
        <v>0</v>
      </c>
      <c r="F379" s="64">
        <v>0</v>
      </c>
      <c r="G379" s="64">
        <v>0</v>
      </c>
      <c r="H379" s="64">
        <v>0</v>
      </c>
      <c r="I379" s="64">
        <v>0</v>
      </c>
      <c r="J379" s="64">
        <v>0</v>
      </c>
      <c r="K379" s="64">
        <v>0</v>
      </c>
      <c r="L379" s="64">
        <v>0</v>
      </c>
      <c r="M379" s="65">
        <v>0</v>
      </c>
    </row>
    <row r="380" spans="1:13" ht="63" customHeight="1" x14ac:dyDescent="0.3">
      <c r="A380" s="402"/>
      <c r="B380" s="393"/>
      <c r="C380" s="30" t="s">
        <v>96</v>
      </c>
      <c r="D380" s="110"/>
      <c r="E380" s="64">
        <v>0</v>
      </c>
      <c r="F380" s="64">
        <v>0</v>
      </c>
      <c r="G380" s="64">
        <v>0</v>
      </c>
      <c r="H380" s="64">
        <v>0</v>
      </c>
      <c r="I380" s="64">
        <v>0</v>
      </c>
      <c r="J380" s="64">
        <v>0</v>
      </c>
      <c r="K380" s="64">
        <v>0</v>
      </c>
      <c r="L380" s="64">
        <v>0</v>
      </c>
      <c r="M380" s="65">
        <v>0</v>
      </c>
    </row>
    <row r="381" spans="1:13" ht="63.95" customHeight="1" x14ac:dyDescent="0.3">
      <c r="A381" s="402"/>
      <c r="B381" s="393"/>
      <c r="C381" s="30" t="s">
        <v>97</v>
      </c>
      <c r="D381" s="110"/>
      <c r="E381" s="64">
        <v>0</v>
      </c>
      <c r="F381" s="64">
        <v>0</v>
      </c>
      <c r="G381" s="64">
        <v>0</v>
      </c>
      <c r="H381" s="64">
        <v>0</v>
      </c>
      <c r="I381" s="64">
        <v>0</v>
      </c>
      <c r="J381" s="64">
        <v>0</v>
      </c>
      <c r="K381" s="64">
        <v>0</v>
      </c>
      <c r="L381" s="64">
        <v>0</v>
      </c>
      <c r="M381" s="65">
        <v>0</v>
      </c>
    </row>
    <row r="382" spans="1:13" ht="30" x14ac:dyDescent="0.3">
      <c r="A382" s="403"/>
      <c r="B382" s="506"/>
      <c r="C382" s="101" t="s">
        <v>98</v>
      </c>
      <c r="D382" s="110"/>
      <c r="E382" s="64">
        <v>0</v>
      </c>
      <c r="F382" s="64">
        <v>0</v>
      </c>
      <c r="G382" s="64">
        <v>0</v>
      </c>
      <c r="H382" s="64">
        <v>0</v>
      </c>
      <c r="I382" s="64">
        <v>0</v>
      </c>
      <c r="J382" s="64">
        <v>0</v>
      </c>
      <c r="K382" s="64">
        <v>0</v>
      </c>
      <c r="L382" s="64">
        <v>0</v>
      </c>
      <c r="M382" s="65">
        <v>0</v>
      </c>
    </row>
    <row r="383" spans="1:13" ht="18.75" customHeight="1" x14ac:dyDescent="0.3">
      <c r="A383" s="433" t="s">
        <v>216</v>
      </c>
      <c r="B383" s="547" t="s">
        <v>388</v>
      </c>
      <c r="C383" s="29" t="s">
        <v>27</v>
      </c>
      <c r="D383" s="110">
        <v>755</v>
      </c>
      <c r="E383" s="62">
        <f t="shared" ref="E383:L383" si="67">SUM(E384:E389)</f>
        <v>0</v>
      </c>
      <c r="F383" s="63">
        <f t="shared" si="67"/>
        <v>3572.78</v>
      </c>
      <c r="G383" s="63">
        <f t="shared" si="67"/>
        <v>184928.48687999998</v>
      </c>
      <c r="H383" s="63">
        <f t="shared" si="67"/>
        <v>159046.10123000003</v>
      </c>
      <c r="I383" s="62">
        <f t="shared" si="67"/>
        <v>135295.97</v>
      </c>
      <c r="J383" s="62">
        <f t="shared" si="67"/>
        <v>135295.97</v>
      </c>
      <c r="K383" s="63">
        <f t="shared" si="67"/>
        <v>135295.97</v>
      </c>
      <c r="L383" s="63">
        <f t="shared" si="67"/>
        <v>135295.97</v>
      </c>
      <c r="M383" s="63">
        <f>SUM(E383:L383)</f>
        <v>888731.24810999993</v>
      </c>
    </row>
    <row r="384" spans="1:13" ht="30" customHeight="1" x14ac:dyDescent="0.3">
      <c r="A384" s="433"/>
      <c r="B384" s="547"/>
      <c r="C384" s="30" t="s">
        <v>93</v>
      </c>
      <c r="D384" s="110"/>
      <c r="E384" s="68">
        <v>0</v>
      </c>
      <c r="F384" s="65">
        <v>0</v>
      </c>
      <c r="G384" s="65">
        <f>G391+G398</f>
        <v>35200</v>
      </c>
      <c r="H384" s="65">
        <v>0</v>
      </c>
      <c r="I384" s="64">
        <v>0</v>
      </c>
      <c r="J384" s="65">
        <v>0</v>
      </c>
      <c r="K384" s="64">
        <v>0</v>
      </c>
      <c r="L384" s="65">
        <v>0</v>
      </c>
      <c r="M384" s="65">
        <f>SUM(E384:I384)</f>
        <v>35200</v>
      </c>
    </row>
    <row r="385" spans="1:13" ht="18.75" customHeight="1" x14ac:dyDescent="0.3">
      <c r="A385" s="433"/>
      <c r="B385" s="547"/>
      <c r="C385" s="31" t="s">
        <v>94</v>
      </c>
      <c r="D385" s="110">
        <v>755</v>
      </c>
      <c r="E385" s="65">
        <f>'Приложение 5'!H159</f>
        <v>0</v>
      </c>
      <c r="F385" s="65">
        <f>'Приложение 5'!I159</f>
        <v>3572.78</v>
      </c>
      <c r="G385" s="65">
        <f>'Приложение 5'!J159</f>
        <v>149728.48687999998</v>
      </c>
      <c r="H385" s="65">
        <f>'Приложение 5'!K159</f>
        <v>159046.10123000003</v>
      </c>
      <c r="I385" s="65">
        <f>'Приложение 5'!L159</f>
        <v>135295.97</v>
      </c>
      <c r="J385" s="65">
        <f>'Приложение 5'!M159</f>
        <v>135295.97</v>
      </c>
      <c r="K385" s="65">
        <f>'Приложение 5'!N159</f>
        <v>135295.97</v>
      </c>
      <c r="L385" s="65">
        <f>'Приложение 5'!O159</f>
        <v>135295.97</v>
      </c>
      <c r="M385" s="74">
        <f>SUM(E385:L385)</f>
        <v>853531.24810999993</v>
      </c>
    </row>
    <row r="386" spans="1:13" ht="47.1" customHeight="1" x14ac:dyDescent="0.3">
      <c r="A386" s="433"/>
      <c r="B386" s="547"/>
      <c r="C386" s="32" t="s">
        <v>95</v>
      </c>
      <c r="D386" s="110"/>
      <c r="E386" s="64">
        <v>0</v>
      </c>
      <c r="F386" s="65">
        <v>0</v>
      </c>
      <c r="G386" s="65">
        <v>0</v>
      </c>
      <c r="H386" s="65">
        <v>0</v>
      </c>
      <c r="I386" s="64">
        <v>0</v>
      </c>
      <c r="J386" s="64">
        <v>0</v>
      </c>
      <c r="K386" s="64">
        <v>0</v>
      </c>
      <c r="L386" s="64">
        <v>0</v>
      </c>
      <c r="M386" s="65">
        <f>SUM(E386:I386)</f>
        <v>0</v>
      </c>
    </row>
    <row r="387" spans="1:13" ht="63" customHeight="1" x14ac:dyDescent="0.3">
      <c r="A387" s="433"/>
      <c r="B387" s="547"/>
      <c r="C387" s="30" t="s">
        <v>96</v>
      </c>
      <c r="D387" s="110"/>
      <c r="E387" s="65">
        <v>0</v>
      </c>
      <c r="F387" s="65">
        <v>0</v>
      </c>
      <c r="G387" s="65">
        <v>0</v>
      </c>
      <c r="H387" s="65">
        <v>0</v>
      </c>
      <c r="I387" s="64">
        <v>0</v>
      </c>
      <c r="J387" s="64">
        <v>0</v>
      </c>
      <c r="K387" s="64">
        <v>0</v>
      </c>
      <c r="L387" s="64">
        <v>0</v>
      </c>
      <c r="M387" s="65">
        <v>0</v>
      </c>
    </row>
    <row r="388" spans="1:13" ht="63.95" customHeight="1" x14ac:dyDescent="0.3">
      <c r="A388" s="433"/>
      <c r="B388" s="547"/>
      <c r="C388" s="30" t="s">
        <v>97</v>
      </c>
      <c r="D388" s="110"/>
      <c r="E388" s="65">
        <v>0</v>
      </c>
      <c r="F388" s="65">
        <v>0</v>
      </c>
      <c r="G388" s="65">
        <v>0</v>
      </c>
      <c r="H388" s="65">
        <v>0</v>
      </c>
      <c r="I388" s="64">
        <v>0</v>
      </c>
      <c r="J388" s="64">
        <v>0</v>
      </c>
      <c r="K388" s="64">
        <v>0</v>
      </c>
      <c r="L388" s="64">
        <v>0</v>
      </c>
      <c r="M388" s="65">
        <v>0</v>
      </c>
    </row>
    <row r="389" spans="1:13" ht="30" x14ac:dyDescent="0.3">
      <c r="A389" s="433"/>
      <c r="B389" s="547"/>
      <c r="C389" s="101" t="s">
        <v>98</v>
      </c>
      <c r="D389" s="110"/>
      <c r="E389" s="65">
        <v>0</v>
      </c>
      <c r="F389" s="65">
        <v>0</v>
      </c>
      <c r="G389" s="65">
        <v>0</v>
      </c>
      <c r="H389" s="65">
        <v>0</v>
      </c>
      <c r="I389" s="64">
        <v>0</v>
      </c>
      <c r="J389" s="64">
        <v>0</v>
      </c>
      <c r="K389" s="64">
        <v>0</v>
      </c>
      <c r="L389" s="64">
        <v>0</v>
      </c>
      <c r="M389" s="65">
        <v>0</v>
      </c>
    </row>
    <row r="390" spans="1:13" ht="18.75" customHeight="1" x14ac:dyDescent="0.3">
      <c r="A390" s="433" t="s">
        <v>217</v>
      </c>
      <c r="B390" s="547" t="s">
        <v>389</v>
      </c>
      <c r="C390" s="29" t="s">
        <v>27</v>
      </c>
      <c r="D390" s="110">
        <v>755</v>
      </c>
      <c r="E390" s="62">
        <f t="shared" ref="E390:L390" si="68">SUM(E391:E396)</f>
        <v>0</v>
      </c>
      <c r="F390" s="63">
        <f t="shared" si="68"/>
        <v>3522.78</v>
      </c>
      <c r="G390" s="63">
        <f t="shared" si="68"/>
        <v>131528.48687999998</v>
      </c>
      <c r="H390" s="63">
        <f t="shared" si="68"/>
        <v>146546.10123000003</v>
      </c>
      <c r="I390" s="62">
        <f t="shared" si="68"/>
        <v>135295.97</v>
      </c>
      <c r="J390" s="62">
        <f t="shared" si="68"/>
        <v>135295.97</v>
      </c>
      <c r="K390" s="63">
        <f t="shared" si="68"/>
        <v>135295.97</v>
      </c>
      <c r="L390" s="63">
        <f t="shared" si="68"/>
        <v>135295.97</v>
      </c>
      <c r="M390" s="63">
        <f>SUM(E390:L390)</f>
        <v>822781.24810999993</v>
      </c>
    </row>
    <row r="391" spans="1:13" ht="30" customHeight="1" x14ac:dyDescent="0.3">
      <c r="A391" s="433"/>
      <c r="B391" s="547"/>
      <c r="C391" s="30" t="s">
        <v>93</v>
      </c>
      <c r="D391" s="110"/>
      <c r="E391" s="68">
        <v>0</v>
      </c>
      <c r="F391" s="65">
        <v>0</v>
      </c>
      <c r="G391" s="65">
        <v>0</v>
      </c>
      <c r="H391" s="65">
        <v>0</v>
      </c>
      <c r="I391" s="64">
        <v>0</v>
      </c>
      <c r="J391" s="65">
        <v>0</v>
      </c>
      <c r="K391" s="64">
        <v>0</v>
      </c>
      <c r="L391" s="65">
        <v>0</v>
      </c>
      <c r="M391" s="65">
        <f>SUM(E391:I391)</f>
        <v>0</v>
      </c>
    </row>
    <row r="392" spans="1:13" ht="18.75" customHeight="1" x14ac:dyDescent="0.3">
      <c r="A392" s="433"/>
      <c r="B392" s="547"/>
      <c r="C392" s="31" t="s">
        <v>94</v>
      </c>
      <c r="D392" s="110">
        <v>755</v>
      </c>
      <c r="E392" s="64">
        <f>'Приложение 5'!H160</f>
        <v>0</v>
      </c>
      <c r="F392" s="64">
        <f>'Приложение 5'!I160</f>
        <v>3522.78</v>
      </c>
      <c r="G392" s="64">
        <f>'Приложение 5'!J160</f>
        <v>131528.48687999998</v>
      </c>
      <c r="H392" s="65">
        <f>'Приложение 5'!K161</f>
        <v>146546.10123000003</v>
      </c>
      <c r="I392" s="64">
        <f>'Приложение 5'!L161</f>
        <v>135295.97</v>
      </c>
      <c r="J392" s="64">
        <f>'Приложение 5'!M161</f>
        <v>135295.97</v>
      </c>
      <c r="K392" s="64">
        <f>'Приложение 5'!N161</f>
        <v>135295.97</v>
      </c>
      <c r="L392" s="64">
        <f>'Приложение 5'!O161</f>
        <v>135295.97</v>
      </c>
      <c r="M392" s="74">
        <f>SUM(E392:L392)</f>
        <v>822781.24810999993</v>
      </c>
    </row>
    <row r="393" spans="1:13" ht="47.1" customHeight="1" x14ac:dyDescent="0.3">
      <c r="A393" s="433"/>
      <c r="B393" s="547"/>
      <c r="C393" s="32" t="s">
        <v>95</v>
      </c>
      <c r="D393" s="110"/>
      <c r="E393" s="64">
        <v>0</v>
      </c>
      <c r="F393" s="65">
        <v>0</v>
      </c>
      <c r="G393" s="65">
        <v>0</v>
      </c>
      <c r="H393" s="65">
        <v>0</v>
      </c>
      <c r="I393" s="64">
        <v>0</v>
      </c>
      <c r="J393" s="64">
        <v>0</v>
      </c>
      <c r="K393" s="64">
        <v>0</v>
      </c>
      <c r="L393" s="64">
        <v>0</v>
      </c>
      <c r="M393" s="65">
        <f>SUM(E393:I393)</f>
        <v>0</v>
      </c>
    </row>
    <row r="394" spans="1:13" ht="63" customHeight="1" x14ac:dyDescent="0.3">
      <c r="A394" s="433"/>
      <c r="B394" s="547"/>
      <c r="C394" s="30" t="s">
        <v>96</v>
      </c>
      <c r="D394" s="110"/>
      <c r="E394" s="65">
        <v>0</v>
      </c>
      <c r="F394" s="65">
        <v>0</v>
      </c>
      <c r="G394" s="65">
        <v>0</v>
      </c>
      <c r="H394" s="65">
        <v>0</v>
      </c>
      <c r="I394" s="64">
        <v>0</v>
      </c>
      <c r="J394" s="64">
        <v>0</v>
      </c>
      <c r="K394" s="64">
        <v>0</v>
      </c>
      <c r="L394" s="64">
        <v>0</v>
      </c>
      <c r="M394" s="65">
        <v>0</v>
      </c>
    </row>
    <row r="395" spans="1:13" ht="63.95" customHeight="1" x14ac:dyDescent="0.3">
      <c r="A395" s="433"/>
      <c r="B395" s="547"/>
      <c r="C395" s="30" t="s">
        <v>97</v>
      </c>
      <c r="D395" s="110"/>
      <c r="E395" s="65">
        <v>0</v>
      </c>
      <c r="F395" s="65">
        <v>0</v>
      </c>
      <c r="G395" s="65">
        <v>0</v>
      </c>
      <c r="H395" s="65">
        <v>0</v>
      </c>
      <c r="I395" s="64">
        <v>0</v>
      </c>
      <c r="J395" s="64">
        <v>0</v>
      </c>
      <c r="K395" s="64">
        <v>0</v>
      </c>
      <c r="L395" s="64">
        <v>0</v>
      </c>
      <c r="M395" s="65">
        <v>0</v>
      </c>
    </row>
    <row r="396" spans="1:13" ht="30" x14ac:dyDescent="0.3">
      <c r="A396" s="433"/>
      <c r="B396" s="547"/>
      <c r="C396" s="101" t="s">
        <v>98</v>
      </c>
      <c r="D396" s="110"/>
      <c r="E396" s="65">
        <v>0</v>
      </c>
      <c r="F396" s="65">
        <v>0</v>
      </c>
      <c r="G396" s="65">
        <v>0</v>
      </c>
      <c r="H396" s="65">
        <v>0</v>
      </c>
      <c r="I396" s="64">
        <v>0</v>
      </c>
      <c r="J396" s="64">
        <v>0</v>
      </c>
      <c r="K396" s="64">
        <v>0</v>
      </c>
      <c r="L396" s="64">
        <v>0</v>
      </c>
      <c r="M396" s="65">
        <v>0</v>
      </c>
    </row>
    <row r="397" spans="1:13" ht="18.75" customHeight="1" x14ac:dyDescent="0.3">
      <c r="A397" s="433" t="s">
        <v>218</v>
      </c>
      <c r="B397" s="547" t="s">
        <v>390</v>
      </c>
      <c r="C397" s="29" t="s">
        <v>27</v>
      </c>
      <c r="D397" s="110">
        <v>755</v>
      </c>
      <c r="E397" s="62">
        <f t="shared" ref="E397:L397" si="69">SUM(E398:E403)</f>
        <v>0</v>
      </c>
      <c r="F397" s="63">
        <f t="shared" si="69"/>
        <v>50</v>
      </c>
      <c r="G397" s="63">
        <f t="shared" si="69"/>
        <v>53400</v>
      </c>
      <c r="H397" s="63">
        <f t="shared" si="69"/>
        <v>12500</v>
      </c>
      <c r="I397" s="62">
        <f t="shared" si="69"/>
        <v>0</v>
      </c>
      <c r="J397" s="62">
        <f t="shared" si="69"/>
        <v>0</v>
      </c>
      <c r="K397" s="63">
        <f t="shared" si="69"/>
        <v>0</v>
      </c>
      <c r="L397" s="63">
        <f t="shared" si="69"/>
        <v>0</v>
      </c>
      <c r="M397" s="63">
        <f>SUM(E397:L397)</f>
        <v>65950</v>
      </c>
    </row>
    <row r="398" spans="1:13" ht="30" customHeight="1" x14ac:dyDescent="0.3">
      <c r="A398" s="433"/>
      <c r="B398" s="547"/>
      <c r="C398" s="30" t="s">
        <v>93</v>
      </c>
      <c r="D398" s="110"/>
      <c r="E398" s="68">
        <v>0</v>
      </c>
      <c r="F398" s="65">
        <v>0</v>
      </c>
      <c r="G398" s="65">
        <f>13200+22000</f>
        <v>35200</v>
      </c>
      <c r="H398" s="65">
        <v>0</v>
      </c>
      <c r="I398" s="64">
        <v>0</v>
      </c>
      <c r="J398" s="65">
        <v>0</v>
      </c>
      <c r="K398" s="64">
        <v>0</v>
      </c>
      <c r="L398" s="65">
        <v>0</v>
      </c>
      <c r="M398" s="65">
        <f>SUM(E398:I398)</f>
        <v>35200</v>
      </c>
    </row>
    <row r="399" spans="1:13" ht="18.75" customHeight="1" x14ac:dyDescent="0.3">
      <c r="A399" s="433"/>
      <c r="B399" s="547"/>
      <c r="C399" s="31" t="s">
        <v>94</v>
      </c>
      <c r="D399" s="110">
        <v>755</v>
      </c>
      <c r="E399" s="64">
        <f>'Приложение 5'!H162</f>
        <v>0</v>
      </c>
      <c r="F399" s="65">
        <f>'Приложение 5'!I162</f>
        <v>50</v>
      </c>
      <c r="G399" s="65">
        <f>'Приложение 5'!J162</f>
        <v>18200</v>
      </c>
      <c r="H399" s="65">
        <f>'Приложение 5'!K163</f>
        <v>12500</v>
      </c>
      <c r="I399" s="64">
        <f>'Приложение 5'!L163</f>
        <v>0</v>
      </c>
      <c r="J399" s="64">
        <f>'Приложение 5'!M163</f>
        <v>0</v>
      </c>
      <c r="K399" s="65">
        <f>'Приложение 5'!N163</f>
        <v>0</v>
      </c>
      <c r="L399" s="65">
        <f>'Приложение 5'!O163</f>
        <v>0</v>
      </c>
      <c r="M399" s="74">
        <f>SUM(E399:L399)</f>
        <v>30750</v>
      </c>
    </row>
    <row r="400" spans="1:13" ht="47.1" customHeight="1" x14ac:dyDescent="0.3">
      <c r="A400" s="433"/>
      <c r="B400" s="547"/>
      <c r="C400" s="32" t="s">
        <v>95</v>
      </c>
      <c r="D400" s="110"/>
      <c r="E400" s="64">
        <v>0</v>
      </c>
      <c r="F400" s="65">
        <v>0</v>
      </c>
      <c r="G400" s="65">
        <v>0</v>
      </c>
      <c r="H400" s="65">
        <v>0</v>
      </c>
      <c r="I400" s="64">
        <v>0</v>
      </c>
      <c r="J400" s="64">
        <v>0</v>
      </c>
      <c r="K400" s="64">
        <v>0</v>
      </c>
      <c r="L400" s="64">
        <v>0</v>
      </c>
      <c r="M400" s="65">
        <f>SUM(E400:I400)</f>
        <v>0</v>
      </c>
    </row>
    <row r="401" spans="1:13" ht="63" customHeight="1" x14ac:dyDescent="0.3">
      <c r="A401" s="433"/>
      <c r="B401" s="547"/>
      <c r="C401" s="30" t="s">
        <v>96</v>
      </c>
      <c r="D401" s="110"/>
      <c r="E401" s="65">
        <v>0</v>
      </c>
      <c r="F401" s="65">
        <v>0</v>
      </c>
      <c r="G401" s="65">
        <v>0</v>
      </c>
      <c r="H401" s="65">
        <v>0</v>
      </c>
      <c r="I401" s="64">
        <v>0</v>
      </c>
      <c r="J401" s="64">
        <v>0</v>
      </c>
      <c r="K401" s="64">
        <v>0</v>
      </c>
      <c r="L401" s="64">
        <v>0</v>
      </c>
      <c r="M401" s="65">
        <v>0</v>
      </c>
    </row>
    <row r="402" spans="1:13" ht="63.95" customHeight="1" x14ac:dyDescent="0.3">
      <c r="A402" s="433"/>
      <c r="B402" s="547"/>
      <c r="C402" s="30" t="s">
        <v>97</v>
      </c>
      <c r="D402" s="110"/>
      <c r="E402" s="65">
        <v>0</v>
      </c>
      <c r="F402" s="65">
        <v>0</v>
      </c>
      <c r="G402" s="65">
        <v>0</v>
      </c>
      <c r="H402" s="65">
        <v>0</v>
      </c>
      <c r="I402" s="64">
        <v>0</v>
      </c>
      <c r="J402" s="64">
        <v>0</v>
      </c>
      <c r="K402" s="64">
        <v>0</v>
      </c>
      <c r="L402" s="64">
        <v>0</v>
      </c>
      <c r="M402" s="65">
        <v>0</v>
      </c>
    </row>
    <row r="403" spans="1:13" ht="30" x14ac:dyDescent="0.3">
      <c r="A403" s="433"/>
      <c r="B403" s="547"/>
      <c r="C403" s="101" t="s">
        <v>98</v>
      </c>
      <c r="D403" s="110"/>
      <c r="E403" s="65">
        <v>0</v>
      </c>
      <c r="F403" s="65">
        <v>0</v>
      </c>
      <c r="G403" s="65">
        <v>0</v>
      </c>
      <c r="H403" s="65">
        <v>0</v>
      </c>
      <c r="I403" s="64">
        <v>0</v>
      </c>
      <c r="J403" s="64">
        <v>0</v>
      </c>
      <c r="K403" s="64">
        <v>0</v>
      </c>
      <c r="L403" s="64">
        <v>0</v>
      </c>
      <c r="M403" s="65">
        <v>0</v>
      </c>
    </row>
    <row r="404" spans="1:13" ht="65.25" customHeight="1" x14ac:dyDescent="0.3">
      <c r="A404" s="432" t="s">
        <v>264</v>
      </c>
      <c r="B404" s="563" t="s">
        <v>393</v>
      </c>
      <c r="C404" s="126" t="s">
        <v>160</v>
      </c>
      <c r="D404" s="112" t="s">
        <v>355</v>
      </c>
      <c r="E404" s="62">
        <f>SUM(E405:E410)</f>
        <v>65200</v>
      </c>
      <c r="F404" s="62">
        <f t="shared" ref="F404:G404" si="70">SUM(F405:F410)</f>
        <v>49984.1</v>
      </c>
      <c r="G404" s="62">
        <f t="shared" si="70"/>
        <v>5565.64</v>
      </c>
      <c r="H404" s="63">
        <f>SUM(H406,H410)</f>
        <v>60039.75</v>
      </c>
      <c r="I404" s="62">
        <f>SUM(I406,I410)</f>
        <v>3039.75</v>
      </c>
      <c r="J404" s="63">
        <f>SUM(J406,J410)</f>
        <v>0</v>
      </c>
      <c r="K404" s="62">
        <f>SUM(K406,K410)</f>
        <v>0</v>
      </c>
      <c r="L404" s="63">
        <f>SUM(L406,L410)</f>
        <v>0</v>
      </c>
      <c r="M404" s="63">
        <f>SUM(E404:L404)</f>
        <v>183829.24</v>
      </c>
    </row>
    <row r="405" spans="1:13" ht="30" customHeight="1" x14ac:dyDescent="0.3">
      <c r="A405" s="402"/>
      <c r="B405" s="416"/>
      <c r="C405" s="101" t="s">
        <v>163</v>
      </c>
      <c r="D405" s="113"/>
      <c r="E405" s="64">
        <v>0</v>
      </c>
      <c r="F405" s="64">
        <v>0</v>
      </c>
      <c r="G405" s="64">
        <v>0</v>
      </c>
      <c r="H405" s="65">
        <f>SUM(H419,H433,H440,H447,H489,H454,H461,H468,H475)</f>
        <v>0</v>
      </c>
      <c r="I405" s="64">
        <f>SUM(I419,I433,I440,I447,I489,I454,I461,I468,I475)</f>
        <v>0</v>
      </c>
      <c r="J405" s="65">
        <f>SUM(J419,J433,J440,J447,J489,J454,J461,J468,J475)</f>
        <v>0</v>
      </c>
      <c r="K405" s="64">
        <f>SUM(K419,K433,K440,K447,K489,K454,K461,K468,K475)</f>
        <v>0</v>
      </c>
      <c r="L405" s="65">
        <f>SUM(L419,L433,L440,L447,L489,L454,L461,L468,L475)</f>
        <v>0</v>
      </c>
      <c r="M405" s="65">
        <f>SUM(H405:I405)</f>
        <v>0</v>
      </c>
    </row>
    <row r="406" spans="1:13" ht="66" customHeight="1" x14ac:dyDescent="0.3">
      <c r="A406" s="402"/>
      <c r="B406" s="416"/>
      <c r="C406" s="127" t="s">
        <v>161</v>
      </c>
      <c r="D406" s="114" t="s">
        <v>355</v>
      </c>
      <c r="E406" s="64">
        <f>'Приложение 5'!H164</f>
        <v>30400</v>
      </c>
      <c r="F406" s="64">
        <f>'Приложение 5'!I164</f>
        <v>8384.1</v>
      </c>
      <c r="G406" s="64">
        <f>'Приложение 5'!J164</f>
        <v>5565.64</v>
      </c>
      <c r="H406" s="64">
        <f>'Приложение 5'!K164</f>
        <v>45000</v>
      </c>
      <c r="I406" s="64">
        <f>'Приложение 5'!L164</f>
        <v>0</v>
      </c>
      <c r="J406" s="64">
        <f>'Приложение 5'!M164</f>
        <v>0</v>
      </c>
      <c r="K406" s="64">
        <f>'Приложение 5'!N164</f>
        <v>0</v>
      </c>
      <c r="L406" s="64">
        <f>'Приложение 5'!O164</f>
        <v>0</v>
      </c>
      <c r="M406" s="65">
        <f>'Приложение 5'!P164</f>
        <v>89349.739999999991</v>
      </c>
    </row>
    <row r="407" spans="1:13" ht="47.1" customHeight="1" x14ac:dyDescent="0.3">
      <c r="A407" s="402"/>
      <c r="B407" s="416"/>
      <c r="C407" s="101" t="s">
        <v>95</v>
      </c>
      <c r="D407" s="113"/>
      <c r="E407" s="64">
        <f t="shared" ref="E407:G407" si="71">E414</f>
        <v>34800</v>
      </c>
      <c r="F407" s="64">
        <f t="shared" si="71"/>
        <v>41600</v>
      </c>
      <c r="G407" s="64">
        <f t="shared" si="71"/>
        <v>0</v>
      </c>
      <c r="H407" s="65">
        <v>0</v>
      </c>
      <c r="I407" s="64">
        <v>0</v>
      </c>
      <c r="J407" s="64">
        <v>0</v>
      </c>
      <c r="K407" s="64">
        <v>0</v>
      </c>
      <c r="L407" s="64">
        <v>0</v>
      </c>
      <c r="M407" s="65">
        <f>SUM(E407:L407)</f>
        <v>76400</v>
      </c>
    </row>
    <row r="408" spans="1:13" ht="63" customHeight="1" x14ac:dyDescent="0.3">
      <c r="A408" s="402"/>
      <c r="B408" s="416"/>
      <c r="C408" s="30" t="s">
        <v>96</v>
      </c>
      <c r="D408" s="113"/>
      <c r="E408" s="64">
        <v>0</v>
      </c>
      <c r="F408" s="64">
        <v>0</v>
      </c>
      <c r="G408" s="64">
        <v>0</v>
      </c>
      <c r="H408" s="65">
        <v>0</v>
      </c>
      <c r="I408" s="64">
        <v>0</v>
      </c>
      <c r="J408" s="64">
        <v>0</v>
      </c>
      <c r="K408" s="64">
        <v>0</v>
      </c>
      <c r="L408" s="64">
        <v>0</v>
      </c>
      <c r="M408" s="65">
        <v>0</v>
      </c>
    </row>
    <row r="409" spans="1:13" ht="63" customHeight="1" x14ac:dyDescent="0.3">
      <c r="A409" s="402"/>
      <c r="B409" s="416"/>
      <c r="C409" s="101" t="s">
        <v>97</v>
      </c>
      <c r="D409" s="113"/>
      <c r="E409" s="64">
        <v>0</v>
      </c>
      <c r="F409" s="64">
        <v>0</v>
      </c>
      <c r="G409" s="64">
        <v>0</v>
      </c>
      <c r="H409" s="65">
        <v>0</v>
      </c>
      <c r="I409" s="64">
        <v>0</v>
      </c>
      <c r="J409" s="64">
        <v>0</v>
      </c>
      <c r="K409" s="64">
        <v>0</v>
      </c>
      <c r="L409" s="64">
        <v>0</v>
      </c>
      <c r="M409" s="65">
        <v>0</v>
      </c>
    </row>
    <row r="410" spans="1:13" ht="30" x14ac:dyDescent="0.3">
      <c r="A410" s="403"/>
      <c r="B410" s="564"/>
      <c r="C410" s="101" t="s">
        <v>98</v>
      </c>
      <c r="D410" s="113"/>
      <c r="E410" s="64">
        <v>0</v>
      </c>
      <c r="F410" s="64">
        <v>0</v>
      </c>
      <c r="G410" s="64">
        <v>0</v>
      </c>
      <c r="H410" s="65">
        <v>15039.75</v>
      </c>
      <c r="I410" s="64">
        <v>3039.75</v>
      </c>
      <c r="J410" s="64">
        <v>0</v>
      </c>
      <c r="K410" s="64">
        <v>0</v>
      </c>
      <c r="L410" s="64">
        <v>0</v>
      </c>
      <c r="M410" s="65">
        <f>SUM(H410:I410)</f>
        <v>18079.5</v>
      </c>
    </row>
    <row r="411" spans="1:13" ht="18.75" customHeight="1" x14ac:dyDescent="0.3">
      <c r="A411" s="432" t="s">
        <v>133</v>
      </c>
      <c r="B411" s="493" t="s">
        <v>375</v>
      </c>
      <c r="C411" s="111" t="s">
        <v>160</v>
      </c>
      <c r="D411" s="113">
        <v>779</v>
      </c>
      <c r="E411" s="62">
        <f>SUM(E412:E417)</f>
        <v>65200</v>
      </c>
      <c r="F411" s="62">
        <f t="shared" ref="F411:L411" si="72">SUM(F412:F417)</f>
        <v>49984.1</v>
      </c>
      <c r="G411" s="62">
        <f t="shared" si="72"/>
        <v>5565.64</v>
      </c>
      <c r="H411" s="62">
        <f t="shared" si="72"/>
        <v>0</v>
      </c>
      <c r="I411" s="62">
        <f t="shared" si="72"/>
        <v>0</v>
      </c>
      <c r="J411" s="62">
        <f t="shared" si="72"/>
        <v>0</v>
      </c>
      <c r="K411" s="62">
        <f t="shared" si="72"/>
        <v>0</v>
      </c>
      <c r="L411" s="62">
        <f t="shared" si="72"/>
        <v>0</v>
      </c>
      <c r="M411" s="63">
        <f>SUM(E411:L411)</f>
        <v>120749.74</v>
      </c>
    </row>
    <row r="412" spans="1:13" ht="30" customHeight="1" x14ac:dyDescent="0.3">
      <c r="A412" s="402"/>
      <c r="B412" s="393"/>
      <c r="C412" s="101" t="s">
        <v>163</v>
      </c>
      <c r="D412" s="113"/>
      <c r="E412" s="64">
        <v>0</v>
      </c>
      <c r="F412" s="64">
        <v>0</v>
      </c>
      <c r="G412" s="64">
        <v>0</v>
      </c>
      <c r="H412" s="65">
        <v>0</v>
      </c>
      <c r="I412" s="65">
        <v>0</v>
      </c>
      <c r="J412" s="65">
        <v>0</v>
      </c>
      <c r="K412" s="65">
        <v>0</v>
      </c>
      <c r="L412" s="65">
        <v>0</v>
      </c>
      <c r="M412" s="65">
        <v>0</v>
      </c>
    </row>
    <row r="413" spans="1:13" ht="18.75" customHeight="1" x14ac:dyDescent="0.3">
      <c r="A413" s="402"/>
      <c r="B413" s="393"/>
      <c r="C413" s="101" t="s">
        <v>161</v>
      </c>
      <c r="D413" s="113">
        <v>779</v>
      </c>
      <c r="E413" s="64">
        <f>'Приложение 5'!H172</f>
        <v>30400</v>
      </c>
      <c r="F413" s="64">
        <f>'Приложение 5'!I172</f>
        <v>8384.1</v>
      </c>
      <c r="G413" s="64">
        <f>'Приложение 5'!J172</f>
        <v>5565.64</v>
      </c>
      <c r="H413" s="64">
        <f>'Приложение 5'!K171</f>
        <v>0</v>
      </c>
      <c r="I413" s="64">
        <f>'Приложение 5'!L171</f>
        <v>0</v>
      </c>
      <c r="J413" s="64">
        <f>'Приложение 5'!M171</f>
        <v>0</v>
      </c>
      <c r="K413" s="64">
        <f>'Приложение 5'!N171</f>
        <v>0</v>
      </c>
      <c r="L413" s="64">
        <f>'Приложение 5'!O171</f>
        <v>0</v>
      </c>
      <c r="M413" s="65">
        <f>'Приложение 5'!P171</f>
        <v>44349.74</v>
      </c>
    </row>
    <row r="414" spans="1:13" ht="47.1" customHeight="1" x14ac:dyDescent="0.3">
      <c r="A414" s="402"/>
      <c r="B414" s="393"/>
      <c r="C414" s="101" t="s">
        <v>95</v>
      </c>
      <c r="D414" s="113"/>
      <c r="E414" s="64">
        <f t="shared" ref="E414:G414" si="73">E421</f>
        <v>34800</v>
      </c>
      <c r="F414" s="64">
        <f t="shared" si="73"/>
        <v>41600</v>
      </c>
      <c r="G414" s="64">
        <f t="shared" si="73"/>
        <v>0</v>
      </c>
      <c r="H414" s="65">
        <v>0</v>
      </c>
      <c r="I414" s="65">
        <v>0</v>
      </c>
      <c r="J414" s="65">
        <v>0</v>
      </c>
      <c r="K414" s="65">
        <v>0</v>
      </c>
      <c r="L414" s="65">
        <v>0</v>
      </c>
      <c r="M414" s="65">
        <f>SUM(E414:L414)</f>
        <v>76400</v>
      </c>
    </row>
    <row r="415" spans="1:13" ht="63" customHeight="1" x14ac:dyDescent="0.3">
      <c r="A415" s="402"/>
      <c r="B415" s="393"/>
      <c r="C415" s="30" t="s">
        <v>96</v>
      </c>
      <c r="D415" s="113"/>
      <c r="E415" s="64">
        <v>0</v>
      </c>
      <c r="F415" s="64">
        <v>0</v>
      </c>
      <c r="G415" s="64">
        <v>0</v>
      </c>
      <c r="H415" s="65">
        <v>0</v>
      </c>
      <c r="I415" s="65">
        <v>0</v>
      </c>
      <c r="J415" s="65">
        <v>0</v>
      </c>
      <c r="K415" s="65">
        <v>0</v>
      </c>
      <c r="L415" s="65">
        <v>0</v>
      </c>
      <c r="M415" s="65">
        <v>0</v>
      </c>
    </row>
    <row r="416" spans="1:13" ht="63.95" customHeight="1" x14ac:dyDescent="0.3">
      <c r="A416" s="402"/>
      <c r="B416" s="393"/>
      <c r="C416" s="30" t="s">
        <v>97</v>
      </c>
      <c r="D416" s="113"/>
      <c r="E416" s="64">
        <v>0</v>
      </c>
      <c r="F416" s="64">
        <v>0</v>
      </c>
      <c r="G416" s="64">
        <v>0</v>
      </c>
      <c r="H416" s="65">
        <v>0</v>
      </c>
      <c r="I416" s="65">
        <v>0</v>
      </c>
      <c r="J416" s="65">
        <v>0</v>
      </c>
      <c r="K416" s="65">
        <v>0</v>
      </c>
      <c r="L416" s="65">
        <v>0</v>
      </c>
      <c r="M416" s="65">
        <v>0</v>
      </c>
    </row>
    <row r="417" spans="1:13" ht="30" x14ac:dyDescent="0.3">
      <c r="A417" s="403"/>
      <c r="B417" s="506"/>
      <c r="C417" s="101" t="s">
        <v>98</v>
      </c>
      <c r="D417" s="113"/>
      <c r="E417" s="64">
        <v>0</v>
      </c>
      <c r="F417" s="64">
        <v>0</v>
      </c>
      <c r="G417" s="64">
        <v>0</v>
      </c>
      <c r="H417" s="65">
        <v>0</v>
      </c>
      <c r="I417" s="65">
        <v>0</v>
      </c>
      <c r="J417" s="65">
        <v>0</v>
      </c>
      <c r="K417" s="65">
        <v>0</v>
      </c>
      <c r="L417" s="65">
        <v>0</v>
      </c>
      <c r="M417" s="65">
        <v>0</v>
      </c>
    </row>
    <row r="418" spans="1:13" ht="18.75" customHeight="1" x14ac:dyDescent="0.3">
      <c r="A418" s="432" t="s">
        <v>219</v>
      </c>
      <c r="B418" s="509" t="s">
        <v>149</v>
      </c>
      <c r="C418" s="111" t="s">
        <v>160</v>
      </c>
      <c r="D418" s="115">
        <v>779</v>
      </c>
      <c r="E418" s="62">
        <f>SUM(E419:E424)</f>
        <v>65200</v>
      </c>
      <c r="F418" s="62">
        <f t="shared" ref="F418:G418" si="74">SUM(F419:F424)</f>
        <v>49984.1</v>
      </c>
      <c r="G418" s="62">
        <f t="shared" si="74"/>
        <v>5565.64</v>
      </c>
      <c r="H418" s="63">
        <f>SUM(H419:H424)</f>
        <v>0</v>
      </c>
      <c r="I418" s="62">
        <f>SUM(I419:I424)</f>
        <v>0</v>
      </c>
      <c r="J418" s="63">
        <f>SUM(J419:J424)</f>
        <v>0</v>
      </c>
      <c r="K418" s="62">
        <f>SUM(K419:K424)</f>
        <v>0</v>
      </c>
      <c r="L418" s="63">
        <f>SUM(L419:L424)</f>
        <v>0</v>
      </c>
      <c r="M418" s="63">
        <f>SUM(E418:L418)</f>
        <v>120749.74</v>
      </c>
    </row>
    <row r="419" spans="1:13" ht="30" customHeight="1" x14ac:dyDescent="0.3">
      <c r="A419" s="402"/>
      <c r="B419" s="449"/>
      <c r="C419" s="30" t="s">
        <v>93</v>
      </c>
      <c r="D419" s="113"/>
      <c r="E419" s="64">
        <v>0</v>
      </c>
      <c r="F419" s="64">
        <v>0</v>
      </c>
      <c r="G419" s="64">
        <v>0</v>
      </c>
      <c r="H419" s="65">
        <v>0</v>
      </c>
      <c r="I419" s="64">
        <v>0</v>
      </c>
      <c r="J419" s="65">
        <v>0</v>
      </c>
      <c r="K419" s="64">
        <v>0</v>
      </c>
      <c r="L419" s="65">
        <v>0</v>
      </c>
      <c r="M419" s="65">
        <v>0</v>
      </c>
    </row>
    <row r="420" spans="1:13" ht="18.75" customHeight="1" x14ac:dyDescent="0.3">
      <c r="A420" s="402"/>
      <c r="B420" s="449"/>
      <c r="C420" s="31" t="s">
        <v>94</v>
      </c>
      <c r="D420" s="113">
        <v>779</v>
      </c>
      <c r="E420" s="64">
        <f>'Приложение 5'!H174</f>
        <v>30400</v>
      </c>
      <c r="F420" s="64">
        <f>'Приложение 5'!I175</f>
        <v>8384.1</v>
      </c>
      <c r="G420" s="64">
        <f>'Приложение 5'!J175</f>
        <v>5565.64</v>
      </c>
      <c r="H420" s="65">
        <f>'Приложение 5'!K176</f>
        <v>0</v>
      </c>
      <c r="I420" s="64">
        <f>'Приложение 5'!L176</f>
        <v>0</v>
      </c>
      <c r="J420" s="65">
        <f>'Приложение 5'!M176</f>
        <v>0</v>
      </c>
      <c r="K420" s="64">
        <f>'Приложение 5'!N176</f>
        <v>0</v>
      </c>
      <c r="L420" s="65">
        <f>'Приложение 5'!O176</f>
        <v>0</v>
      </c>
      <c r="M420" s="65">
        <f>'Приложение 5'!P174</f>
        <v>44349.74</v>
      </c>
    </row>
    <row r="421" spans="1:13" ht="47.1" customHeight="1" x14ac:dyDescent="0.3">
      <c r="A421" s="402"/>
      <c r="B421" s="449"/>
      <c r="C421" s="32" t="s">
        <v>95</v>
      </c>
      <c r="D421" s="113"/>
      <c r="E421" s="64">
        <v>34800</v>
      </c>
      <c r="F421" s="64">
        <v>41600</v>
      </c>
      <c r="G421" s="64">
        <v>0</v>
      </c>
      <c r="H421" s="65">
        <v>0</v>
      </c>
      <c r="I421" s="64">
        <v>0</v>
      </c>
      <c r="J421" s="64">
        <v>0</v>
      </c>
      <c r="K421" s="64">
        <v>0</v>
      </c>
      <c r="L421" s="64">
        <v>0</v>
      </c>
      <c r="M421" s="65">
        <f>SUM(E421:L421)</f>
        <v>76400</v>
      </c>
    </row>
    <row r="422" spans="1:13" ht="63" customHeight="1" x14ac:dyDescent="0.3">
      <c r="A422" s="402"/>
      <c r="B422" s="449"/>
      <c r="C422" s="30" t="s">
        <v>96</v>
      </c>
      <c r="D422" s="113"/>
      <c r="E422" s="64">
        <v>0</v>
      </c>
      <c r="F422" s="64">
        <v>0</v>
      </c>
      <c r="G422" s="64">
        <v>0</v>
      </c>
      <c r="H422" s="65">
        <v>0</v>
      </c>
      <c r="I422" s="64">
        <v>0</v>
      </c>
      <c r="J422" s="64">
        <v>0</v>
      </c>
      <c r="K422" s="64">
        <v>0</v>
      </c>
      <c r="L422" s="64">
        <v>0</v>
      </c>
      <c r="M422" s="65">
        <v>0</v>
      </c>
    </row>
    <row r="423" spans="1:13" ht="63" customHeight="1" x14ac:dyDescent="0.3">
      <c r="A423" s="402"/>
      <c r="B423" s="449"/>
      <c r="C423" s="30" t="s">
        <v>97</v>
      </c>
      <c r="D423" s="113"/>
      <c r="E423" s="64">
        <v>0</v>
      </c>
      <c r="F423" s="64">
        <v>0</v>
      </c>
      <c r="G423" s="64">
        <v>0</v>
      </c>
      <c r="H423" s="65">
        <v>0</v>
      </c>
      <c r="I423" s="64">
        <v>0</v>
      </c>
      <c r="J423" s="64">
        <v>0</v>
      </c>
      <c r="K423" s="64">
        <v>0</v>
      </c>
      <c r="L423" s="64">
        <v>0</v>
      </c>
      <c r="M423" s="65">
        <v>0</v>
      </c>
    </row>
    <row r="424" spans="1:13" ht="30" x14ac:dyDescent="0.3">
      <c r="A424" s="403"/>
      <c r="B424" s="510"/>
      <c r="C424" s="101" t="s">
        <v>98</v>
      </c>
      <c r="D424" s="113"/>
      <c r="E424" s="64">
        <v>0</v>
      </c>
      <c r="F424" s="64">
        <v>0</v>
      </c>
      <c r="G424" s="64">
        <v>0</v>
      </c>
      <c r="H424" s="65">
        <v>0</v>
      </c>
      <c r="I424" s="64">
        <v>0</v>
      </c>
      <c r="J424" s="64">
        <v>0</v>
      </c>
      <c r="K424" s="64">
        <v>0</v>
      </c>
      <c r="L424" s="64">
        <v>0</v>
      </c>
      <c r="M424" s="65">
        <v>0</v>
      </c>
    </row>
    <row r="425" spans="1:13" ht="47.25" x14ac:dyDescent="0.3">
      <c r="A425" s="432" t="s">
        <v>134</v>
      </c>
      <c r="B425" s="509" t="s">
        <v>376</v>
      </c>
      <c r="C425" s="126" t="s">
        <v>160</v>
      </c>
      <c r="D425" s="112" t="s">
        <v>292</v>
      </c>
      <c r="E425" s="63">
        <f t="shared" ref="E425:G425" si="75">SUM(E426:E431)</f>
        <v>0</v>
      </c>
      <c r="F425" s="63">
        <f t="shared" si="75"/>
        <v>0</v>
      </c>
      <c r="G425" s="63">
        <f t="shared" si="75"/>
        <v>0</v>
      </c>
      <c r="H425" s="63">
        <f>SUM(H426:H431)</f>
        <v>60039.75</v>
      </c>
      <c r="I425" s="63">
        <f t="shared" ref="I425:L425" si="76">SUM(I426:I431)</f>
        <v>3039.75</v>
      </c>
      <c r="J425" s="63">
        <f t="shared" si="76"/>
        <v>0</v>
      </c>
      <c r="K425" s="63">
        <f t="shared" si="76"/>
        <v>0</v>
      </c>
      <c r="L425" s="63">
        <f t="shared" si="76"/>
        <v>0</v>
      </c>
      <c r="M425" s="63">
        <f>SUM(H425:L425)</f>
        <v>63079.5</v>
      </c>
    </row>
    <row r="426" spans="1:13" ht="30" customHeight="1" x14ac:dyDescent="0.3">
      <c r="A426" s="402"/>
      <c r="B426" s="449"/>
      <c r="C426" s="30" t="s">
        <v>93</v>
      </c>
      <c r="D426" s="113"/>
      <c r="E426" s="65">
        <v>0</v>
      </c>
      <c r="F426" s="65">
        <v>0</v>
      </c>
      <c r="G426" s="65">
        <v>0</v>
      </c>
      <c r="H426" s="65">
        <v>0</v>
      </c>
      <c r="I426" s="65">
        <v>0</v>
      </c>
      <c r="J426" s="65">
        <v>0</v>
      </c>
      <c r="K426" s="65">
        <v>0</v>
      </c>
      <c r="L426" s="65">
        <v>0</v>
      </c>
      <c r="M426" s="65">
        <v>0</v>
      </c>
    </row>
    <row r="427" spans="1:13" ht="60" x14ac:dyDescent="0.3">
      <c r="A427" s="402"/>
      <c r="B427" s="449"/>
      <c r="C427" s="125" t="s">
        <v>94</v>
      </c>
      <c r="D427" s="114" t="s">
        <v>362</v>
      </c>
      <c r="E427" s="65">
        <v>0</v>
      </c>
      <c r="F427" s="65">
        <v>0</v>
      </c>
      <c r="G427" s="65">
        <v>0</v>
      </c>
      <c r="H427" s="65">
        <f>'Приложение 5'!K177</f>
        <v>45000</v>
      </c>
      <c r="I427" s="64">
        <f>'Приложение 5'!L177</f>
        <v>0</v>
      </c>
      <c r="J427" s="64">
        <f>'Приложение 5'!M177</f>
        <v>0</v>
      </c>
      <c r="K427" s="64">
        <f>'Приложение 5'!N177</f>
        <v>0</v>
      </c>
      <c r="L427" s="64">
        <f>'Приложение 5'!O177</f>
        <v>0</v>
      </c>
      <c r="M427" s="65">
        <f>'Приложение 5'!P177</f>
        <v>45000</v>
      </c>
    </row>
    <row r="428" spans="1:13" ht="45.95" customHeight="1" x14ac:dyDescent="0.3">
      <c r="A428" s="402"/>
      <c r="B428" s="449"/>
      <c r="C428" s="32" t="s">
        <v>95</v>
      </c>
      <c r="D428" s="113"/>
      <c r="E428" s="65">
        <v>0</v>
      </c>
      <c r="F428" s="65">
        <v>0</v>
      </c>
      <c r="G428" s="65">
        <v>0</v>
      </c>
      <c r="H428" s="65">
        <v>0</v>
      </c>
      <c r="I428" s="65">
        <v>0</v>
      </c>
      <c r="J428" s="65">
        <v>0</v>
      </c>
      <c r="K428" s="65">
        <v>0</v>
      </c>
      <c r="L428" s="65">
        <v>0</v>
      </c>
      <c r="M428" s="65">
        <v>0</v>
      </c>
    </row>
    <row r="429" spans="1:13" ht="63" customHeight="1" x14ac:dyDescent="0.3">
      <c r="A429" s="402"/>
      <c r="B429" s="449"/>
      <c r="C429" s="30" t="s">
        <v>96</v>
      </c>
      <c r="D429" s="113"/>
      <c r="E429" s="65">
        <v>0</v>
      </c>
      <c r="F429" s="65">
        <v>0</v>
      </c>
      <c r="G429" s="65">
        <v>0</v>
      </c>
      <c r="H429" s="65">
        <v>0</v>
      </c>
      <c r="I429" s="65">
        <v>0</v>
      </c>
      <c r="J429" s="65">
        <v>0</v>
      </c>
      <c r="K429" s="65">
        <v>0</v>
      </c>
      <c r="L429" s="65">
        <v>0</v>
      </c>
      <c r="M429" s="65">
        <v>0</v>
      </c>
    </row>
    <row r="430" spans="1:13" ht="63" customHeight="1" x14ac:dyDescent="0.3">
      <c r="A430" s="402"/>
      <c r="B430" s="449"/>
      <c r="C430" s="30" t="s">
        <v>97</v>
      </c>
      <c r="D430" s="113"/>
      <c r="E430" s="65">
        <v>0</v>
      </c>
      <c r="F430" s="65">
        <v>0</v>
      </c>
      <c r="G430" s="65">
        <v>0</v>
      </c>
      <c r="H430" s="65">
        <v>0</v>
      </c>
      <c r="I430" s="65">
        <v>0</v>
      </c>
      <c r="J430" s="65">
        <v>0</v>
      </c>
      <c r="K430" s="65">
        <v>0</v>
      </c>
      <c r="L430" s="65">
        <v>0</v>
      </c>
      <c r="M430" s="65">
        <v>0</v>
      </c>
    </row>
    <row r="431" spans="1:13" ht="30" x14ac:dyDescent="0.3">
      <c r="A431" s="403"/>
      <c r="B431" s="510"/>
      <c r="C431" s="101" t="s">
        <v>98</v>
      </c>
      <c r="D431" s="113"/>
      <c r="E431" s="65">
        <v>0</v>
      </c>
      <c r="F431" s="65">
        <v>0</v>
      </c>
      <c r="G431" s="65">
        <v>0</v>
      </c>
      <c r="H431" s="65">
        <f>H438+H445+H452+H459+H466+H473++H480</f>
        <v>15039.75</v>
      </c>
      <c r="I431" s="65">
        <f t="shared" ref="I431:L431" si="77">I438+I445+I452+I459+I466+I473++I480</f>
        <v>3039.75</v>
      </c>
      <c r="J431" s="65">
        <f t="shared" si="77"/>
        <v>0</v>
      </c>
      <c r="K431" s="65">
        <f t="shared" si="77"/>
        <v>0</v>
      </c>
      <c r="L431" s="65">
        <f t="shared" si="77"/>
        <v>0</v>
      </c>
      <c r="M431" s="65">
        <f>SUM(H431:L431)</f>
        <v>18079.5</v>
      </c>
    </row>
    <row r="432" spans="1:13" ht="18.75" customHeight="1" x14ac:dyDescent="0.3">
      <c r="A432" s="432" t="s">
        <v>220</v>
      </c>
      <c r="B432" s="509" t="s">
        <v>327</v>
      </c>
      <c r="C432" s="111" t="s">
        <v>160</v>
      </c>
      <c r="D432" s="115">
        <v>763</v>
      </c>
      <c r="E432" s="63">
        <f t="shared" ref="E432:G432" si="78">SUM(E433:E438)</f>
        <v>0</v>
      </c>
      <c r="F432" s="63">
        <f t="shared" si="78"/>
        <v>0</v>
      </c>
      <c r="G432" s="63">
        <f t="shared" si="78"/>
        <v>0</v>
      </c>
      <c r="H432" s="63">
        <f>SUM(H433:H438)</f>
        <v>0</v>
      </c>
      <c r="I432" s="62">
        <f>SUM(I433:I438)</f>
        <v>0</v>
      </c>
      <c r="J432" s="63">
        <f>SUM(J433:J438)</f>
        <v>0</v>
      </c>
      <c r="K432" s="62">
        <f>SUM(K433:K438)</f>
        <v>0</v>
      </c>
      <c r="L432" s="63">
        <f>SUM(L433:L438)</f>
        <v>0</v>
      </c>
      <c r="M432" s="63">
        <f>SUM(H432:L432)</f>
        <v>0</v>
      </c>
    </row>
    <row r="433" spans="1:13" ht="30" customHeight="1" x14ac:dyDescent="0.3">
      <c r="A433" s="402"/>
      <c r="B433" s="449"/>
      <c r="C433" s="30" t="s">
        <v>93</v>
      </c>
      <c r="D433" s="113"/>
      <c r="E433" s="64">
        <v>0</v>
      </c>
      <c r="F433" s="65">
        <v>0</v>
      </c>
      <c r="G433" s="64">
        <v>0</v>
      </c>
      <c r="H433" s="65">
        <v>0</v>
      </c>
      <c r="I433" s="64">
        <v>0</v>
      </c>
      <c r="J433" s="65">
        <v>0</v>
      </c>
      <c r="K433" s="64">
        <v>0</v>
      </c>
      <c r="L433" s="65">
        <v>0</v>
      </c>
      <c r="M433" s="65">
        <v>0</v>
      </c>
    </row>
    <row r="434" spans="1:13" ht="18.75" customHeight="1" x14ac:dyDescent="0.3">
      <c r="A434" s="402"/>
      <c r="B434" s="449"/>
      <c r="C434" s="31" t="s">
        <v>94</v>
      </c>
      <c r="D434" s="113">
        <v>763</v>
      </c>
      <c r="E434" s="65">
        <f>'Приложение 5'!H182</f>
        <v>0</v>
      </c>
      <c r="F434" s="65">
        <f>'Приложение 5'!I182</f>
        <v>0</v>
      </c>
      <c r="G434" s="65">
        <f>'Приложение 5'!J182</f>
        <v>0</v>
      </c>
      <c r="H434" s="65">
        <f>'Приложение 5'!K182</f>
        <v>0</v>
      </c>
      <c r="I434" s="64">
        <f>'Приложение 5'!L182</f>
        <v>0</v>
      </c>
      <c r="J434" s="65">
        <f>'Приложение 5'!M182</f>
        <v>0</v>
      </c>
      <c r="K434" s="64">
        <f>'Приложение 5'!N182</f>
        <v>0</v>
      </c>
      <c r="L434" s="65">
        <f>'Приложение 5'!O182</f>
        <v>0</v>
      </c>
      <c r="M434" s="65">
        <f>'Приложение 5'!P182</f>
        <v>0</v>
      </c>
    </row>
    <row r="435" spans="1:13" ht="45.95" customHeight="1" x14ac:dyDescent="0.3">
      <c r="A435" s="402"/>
      <c r="B435" s="449"/>
      <c r="C435" s="32" t="s">
        <v>95</v>
      </c>
      <c r="D435" s="113"/>
      <c r="E435" s="65">
        <v>0</v>
      </c>
      <c r="F435" s="65">
        <v>0</v>
      </c>
      <c r="G435" s="65">
        <v>0</v>
      </c>
      <c r="H435" s="65">
        <v>0</v>
      </c>
      <c r="I435" s="64">
        <v>0</v>
      </c>
      <c r="J435" s="64">
        <v>0</v>
      </c>
      <c r="K435" s="64">
        <v>0</v>
      </c>
      <c r="L435" s="64">
        <v>0</v>
      </c>
      <c r="M435" s="65">
        <v>0</v>
      </c>
    </row>
    <row r="436" spans="1:13" ht="63" customHeight="1" x14ac:dyDescent="0.3">
      <c r="A436" s="402"/>
      <c r="B436" s="449"/>
      <c r="C436" s="30" t="s">
        <v>96</v>
      </c>
      <c r="D436" s="113"/>
      <c r="E436" s="65">
        <v>0</v>
      </c>
      <c r="F436" s="65">
        <v>0</v>
      </c>
      <c r="G436" s="65">
        <v>0</v>
      </c>
      <c r="H436" s="65">
        <v>0</v>
      </c>
      <c r="I436" s="64">
        <v>0</v>
      </c>
      <c r="J436" s="64">
        <v>0</v>
      </c>
      <c r="K436" s="64">
        <v>0</v>
      </c>
      <c r="L436" s="64">
        <v>0</v>
      </c>
      <c r="M436" s="65">
        <v>0</v>
      </c>
    </row>
    <row r="437" spans="1:13" ht="63" customHeight="1" x14ac:dyDescent="0.3">
      <c r="A437" s="402"/>
      <c r="B437" s="449"/>
      <c r="C437" s="30" t="s">
        <v>97</v>
      </c>
      <c r="D437" s="113"/>
      <c r="E437" s="65">
        <v>0</v>
      </c>
      <c r="F437" s="65">
        <v>0</v>
      </c>
      <c r="G437" s="65">
        <v>0</v>
      </c>
      <c r="H437" s="65">
        <v>0</v>
      </c>
      <c r="I437" s="64">
        <v>0</v>
      </c>
      <c r="J437" s="64">
        <v>0</v>
      </c>
      <c r="K437" s="64">
        <v>0</v>
      </c>
      <c r="L437" s="64">
        <v>0</v>
      </c>
      <c r="M437" s="65">
        <v>0</v>
      </c>
    </row>
    <row r="438" spans="1:13" ht="30" x14ac:dyDescent="0.3">
      <c r="A438" s="403"/>
      <c r="B438" s="510"/>
      <c r="C438" s="101" t="s">
        <v>98</v>
      </c>
      <c r="D438" s="113"/>
      <c r="E438" s="65">
        <v>0</v>
      </c>
      <c r="F438" s="65">
        <v>0</v>
      </c>
      <c r="G438" s="65">
        <v>0</v>
      </c>
      <c r="H438" s="65">
        <v>0</v>
      </c>
      <c r="I438" s="64">
        <v>0</v>
      </c>
      <c r="J438" s="64">
        <v>0</v>
      </c>
      <c r="K438" s="64">
        <v>0</v>
      </c>
      <c r="L438" s="64">
        <v>0</v>
      </c>
      <c r="M438" s="65">
        <v>0</v>
      </c>
    </row>
    <row r="439" spans="1:13" ht="18.75" customHeight="1" x14ac:dyDescent="0.3">
      <c r="A439" s="432" t="s">
        <v>221</v>
      </c>
      <c r="B439" s="509" t="s">
        <v>320</v>
      </c>
      <c r="C439" s="111" t="s">
        <v>160</v>
      </c>
      <c r="D439" s="115">
        <v>763</v>
      </c>
      <c r="E439" s="63">
        <f>SUM(E440:E445)</f>
        <v>0</v>
      </c>
      <c r="F439" s="63">
        <f t="shared" ref="F439:L439" si="79">SUM(F440:F445)</f>
        <v>0</v>
      </c>
      <c r="G439" s="63">
        <f t="shared" si="79"/>
        <v>0</v>
      </c>
      <c r="H439" s="63">
        <f t="shared" si="79"/>
        <v>15039.75</v>
      </c>
      <c r="I439" s="63">
        <f t="shared" si="79"/>
        <v>3039.75</v>
      </c>
      <c r="J439" s="63">
        <f t="shared" si="79"/>
        <v>0</v>
      </c>
      <c r="K439" s="63">
        <f t="shared" si="79"/>
        <v>0</v>
      </c>
      <c r="L439" s="63">
        <f t="shared" si="79"/>
        <v>0</v>
      </c>
      <c r="M439" s="63">
        <v>18079.5</v>
      </c>
    </row>
    <row r="440" spans="1:13" ht="30" customHeight="1" x14ac:dyDescent="0.3">
      <c r="A440" s="402"/>
      <c r="B440" s="449"/>
      <c r="C440" s="30" t="s">
        <v>93</v>
      </c>
      <c r="D440" s="113"/>
      <c r="E440" s="64">
        <v>0</v>
      </c>
      <c r="F440" s="65">
        <v>0</v>
      </c>
      <c r="G440" s="64">
        <v>0</v>
      </c>
      <c r="H440" s="65">
        <v>0</v>
      </c>
      <c r="I440" s="64">
        <v>0</v>
      </c>
      <c r="J440" s="65">
        <v>0</v>
      </c>
      <c r="K440" s="64">
        <v>0</v>
      </c>
      <c r="L440" s="65">
        <v>0</v>
      </c>
      <c r="M440" s="65">
        <v>0</v>
      </c>
    </row>
    <row r="441" spans="1:13" ht="18.75" customHeight="1" x14ac:dyDescent="0.3">
      <c r="A441" s="402"/>
      <c r="B441" s="449"/>
      <c r="C441" s="31" t="s">
        <v>94</v>
      </c>
      <c r="D441" s="113"/>
      <c r="E441" s="65">
        <f>'Приложение 5'!H183</f>
        <v>0</v>
      </c>
      <c r="F441" s="65">
        <f>'Приложение 5'!I183</f>
        <v>0</v>
      </c>
      <c r="G441" s="65">
        <f>'Приложение 5'!J183</f>
        <v>0</v>
      </c>
      <c r="H441" s="65">
        <f>'Приложение 5'!K183</f>
        <v>0</v>
      </c>
      <c r="I441" s="64">
        <f>'Приложение 5'!L183</f>
        <v>0</v>
      </c>
      <c r="J441" s="65">
        <f>'Приложение 5'!M183</f>
        <v>0</v>
      </c>
      <c r="K441" s="64">
        <f>'Приложение 5'!N183</f>
        <v>0</v>
      </c>
      <c r="L441" s="65">
        <f>'Приложение 5'!O183</f>
        <v>0</v>
      </c>
      <c r="M441" s="65">
        <f>'Приложение 5'!P183</f>
        <v>0</v>
      </c>
    </row>
    <row r="442" spans="1:13" ht="45.95" customHeight="1" x14ac:dyDescent="0.3">
      <c r="A442" s="402"/>
      <c r="B442" s="449"/>
      <c r="C442" s="32" t="s">
        <v>95</v>
      </c>
      <c r="D442" s="113"/>
      <c r="E442" s="65">
        <v>0</v>
      </c>
      <c r="F442" s="65">
        <v>0</v>
      </c>
      <c r="G442" s="65">
        <v>0</v>
      </c>
      <c r="H442" s="65">
        <v>0</v>
      </c>
      <c r="I442" s="64">
        <v>0</v>
      </c>
      <c r="J442" s="64">
        <v>0</v>
      </c>
      <c r="K442" s="64">
        <v>0</v>
      </c>
      <c r="L442" s="64">
        <v>0</v>
      </c>
      <c r="M442" s="65">
        <v>0</v>
      </c>
    </row>
    <row r="443" spans="1:13" ht="63" customHeight="1" x14ac:dyDescent="0.3">
      <c r="A443" s="402"/>
      <c r="B443" s="449"/>
      <c r="C443" s="30" t="s">
        <v>96</v>
      </c>
      <c r="D443" s="113"/>
      <c r="E443" s="65">
        <v>0</v>
      </c>
      <c r="F443" s="65">
        <v>0</v>
      </c>
      <c r="G443" s="65">
        <v>0</v>
      </c>
      <c r="H443" s="65">
        <v>0</v>
      </c>
      <c r="I443" s="64">
        <v>0</v>
      </c>
      <c r="J443" s="64">
        <v>0</v>
      </c>
      <c r="K443" s="64">
        <v>0</v>
      </c>
      <c r="L443" s="64">
        <v>0</v>
      </c>
      <c r="M443" s="65">
        <v>0</v>
      </c>
    </row>
    <row r="444" spans="1:13" ht="63" customHeight="1" x14ac:dyDescent="0.3">
      <c r="A444" s="402"/>
      <c r="B444" s="449"/>
      <c r="C444" s="101" t="s">
        <v>97</v>
      </c>
      <c r="D444" s="113"/>
      <c r="E444" s="65">
        <v>0</v>
      </c>
      <c r="F444" s="65">
        <v>0</v>
      </c>
      <c r="G444" s="65">
        <v>0</v>
      </c>
      <c r="H444" s="65">
        <v>0</v>
      </c>
      <c r="I444" s="64">
        <v>0</v>
      </c>
      <c r="J444" s="64">
        <v>0</v>
      </c>
      <c r="K444" s="64">
        <v>0</v>
      </c>
      <c r="L444" s="64">
        <v>0</v>
      </c>
      <c r="M444" s="65">
        <v>0</v>
      </c>
    </row>
    <row r="445" spans="1:13" ht="30" x14ac:dyDescent="0.3">
      <c r="A445" s="403"/>
      <c r="B445" s="510"/>
      <c r="C445" s="101" t="s">
        <v>98</v>
      </c>
      <c r="D445" s="113"/>
      <c r="E445" s="65">
        <v>0</v>
      </c>
      <c r="F445" s="65">
        <v>0</v>
      </c>
      <c r="G445" s="65">
        <v>0</v>
      </c>
      <c r="H445" s="65">
        <v>15039.75</v>
      </c>
      <c r="I445" s="64">
        <v>3039.75</v>
      </c>
      <c r="J445" s="64">
        <v>0</v>
      </c>
      <c r="K445" s="64">
        <v>0</v>
      </c>
      <c r="L445" s="64">
        <v>0</v>
      </c>
      <c r="M445" s="65">
        <v>18079.5</v>
      </c>
    </row>
    <row r="446" spans="1:13" ht="18.75" customHeight="1" x14ac:dyDescent="0.3">
      <c r="A446" s="432" t="s">
        <v>222</v>
      </c>
      <c r="B446" s="509" t="s">
        <v>153</v>
      </c>
      <c r="C446" s="111" t="s">
        <v>160</v>
      </c>
      <c r="D446" s="115">
        <v>755</v>
      </c>
      <c r="E446" s="63">
        <f t="shared" ref="E446:G446" si="80">SUM(E447:E452)</f>
        <v>0</v>
      </c>
      <c r="F446" s="63">
        <f t="shared" si="80"/>
        <v>0</v>
      </c>
      <c r="G446" s="63">
        <f t="shared" si="80"/>
        <v>0</v>
      </c>
      <c r="H446" s="63">
        <f>SUM(H447:H452)</f>
        <v>0</v>
      </c>
      <c r="I446" s="62">
        <f>SUM(I447:I452)</f>
        <v>0</v>
      </c>
      <c r="J446" s="63">
        <f>SUM(J447:J452)</f>
        <v>0</v>
      </c>
      <c r="K446" s="62">
        <f>SUM(K447:K452)</f>
        <v>0</v>
      </c>
      <c r="L446" s="63">
        <f>SUM(L447:L452)</f>
        <v>0</v>
      </c>
      <c r="M446" s="63">
        <f>SUM(H446:L446)</f>
        <v>0</v>
      </c>
    </row>
    <row r="447" spans="1:13" ht="30" customHeight="1" x14ac:dyDescent="0.3">
      <c r="A447" s="402"/>
      <c r="B447" s="449"/>
      <c r="C447" s="30" t="s">
        <v>93</v>
      </c>
      <c r="D447" s="113"/>
      <c r="E447" s="64">
        <v>0</v>
      </c>
      <c r="F447" s="65">
        <v>0</v>
      </c>
      <c r="G447" s="64">
        <v>0</v>
      </c>
      <c r="H447" s="65">
        <v>0</v>
      </c>
      <c r="I447" s="64">
        <v>0</v>
      </c>
      <c r="J447" s="65">
        <v>0</v>
      </c>
      <c r="K447" s="64">
        <v>0</v>
      </c>
      <c r="L447" s="65">
        <v>0</v>
      </c>
      <c r="M447" s="65">
        <v>0</v>
      </c>
    </row>
    <row r="448" spans="1:13" ht="18.75" customHeight="1" x14ac:dyDescent="0.3">
      <c r="A448" s="402"/>
      <c r="B448" s="449"/>
      <c r="C448" s="31" t="s">
        <v>94</v>
      </c>
      <c r="D448" s="113">
        <v>755</v>
      </c>
      <c r="E448" s="65">
        <f>'Приложение 5'!H184</f>
        <v>0</v>
      </c>
      <c r="F448" s="65">
        <f>'Приложение 5'!I184</f>
        <v>0</v>
      </c>
      <c r="G448" s="65">
        <f>'Приложение 5'!J184</f>
        <v>0</v>
      </c>
      <c r="H448" s="65">
        <f>'Приложение 5'!K184</f>
        <v>0</v>
      </c>
      <c r="I448" s="64">
        <f>'Приложение 5'!L184</f>
        <v>0</v>
      </c>
      <c r="J448" s="65">
        <f>'Приложение 5'!M184</f>
        <v>0</v>
      </c>
      <c r="K448" s="64">
        <f>'Приложение 5'!N184</f>
        <v>0</v>
      </c>
      <c r="L448" s="65">
        <f>'Приложение 5'!O184</f>
        <v>0</v>
      </c>
      <c r="M448" s="65">
        <f>'Приложение 5'!P184</f>
        <v>0</v>
      </c>
    </row>
    <row r="449" spans="1:13" ht="47.1" customHeight="1" x14ac:dyDescent="0.3">
      <c r="A449" s="402"/>
      <c r="B449" s="449"/>
      <c r="C449" s="32" t="s">
        <v>95</v>
      </c>
      <c r="D449" s="113"/>
      <c r="E449" s="65">
        <v>0</v>
      </c>
      <c r="F449" s="65">
        <v>0</v>
      </c>
      <c r="G449" s="65">
        <v>0</v>
      </c>
      <c r="H449" s="65">
        <v>0</v>
      </c>
      <c r="I449" s="64">
        <v>0</v>
      </c>
      <c r="J449" s="64">
        <v>0</v>
      </c>
      <c r="K449" s="64">
        <v>0</v>
      </c>
      <c r="L449" s="64">
        <v>0</v>
      </c>
      <c r="M449" s="65">
        <v>0</v>
      </c>
    </row>
    <row r="450" spans="1:13" ht="63" customHeight="1" x14ac:dyDescent="0.3">
      <c r="A450" s="402"/>
      <c r="B450" s="449"/>
      <c r="C450" s="30" t="s">
        <v>96</v>
      </c>
      <c r="D450" s="113"/>
      <c r="E450" s="65">
        <v>0</v>
      </c>
      <c r="F450" s="65">
        <v>0</v>
      </c>
      <c r="G450" s="65">
        <v>0</v>
      </c>
      <c r="H450" s="65">
        <v>0</v>
      </c>
      <c r="I450" s="64">
        <v>0</v>
      </c>
      <c r="J450" s="64">
        <v>0</v>
      </c>
      <c r="K450" s="64">
        <v>0</v>
      </c>
      <c r="L450" s="64">
        <v>0</v>
      </c>
      <c r="M450" s="65">
        <v>0</v>
      </c>
    </row>
    <row r="451" spans="1:13" ht="63.95" customHeight="1" x14ac:dyDescent="0.3">
      <c r="A451" s="402"/>
      <c r="B451" s="449"/>
      <c r="C451" s="30" t="s">
        <v>97</v>
      </c>
      <c r="D451" s="113"/>
      <c r="E451" s="65">
        <v>0</v>
      </c>
      <c r="F451" s="65">
        <v>0</v>
      </c>
      <c r="G451" s="65">
        <v>0</v>
      </c>
      <c r="H451" s="65">
        <v>0</v>
      </c>
      <c r="I451" s="64">
        <v>0</v>
      </c>
      <c r="J451" s="64">
        <v>0</v>
      </c>
      <c r="K451" s="64">
        <v>0</v>
      </c>
      <c r="L451" s="64">
        <v>0</v>
      </c>
      <c r="M451" s="65">
        <v>0</v>
      </c>
    </row>
    <row r="452" spans="1:13" ht="30" x14ac:dyDescent="0.3">
      <c r="A452" s="403"/>
      <c r="B452" s="510"/>
      <c r="C452" s="101" t="s">
        <v>98</v>
      </c>
      <c r="D452" s="113"/>
      <c r="E452" s="65">
        <v>0</v>
      </c>
      <c r="F452" s="65">
        <v>0</v>
      </c>
      <c r="G452" s="65">
        <v>0</v>
      </c>
      <c r="H452" s="65">
        <v>0</v>
      </c>
      <c r="I452" s="64">
        <v>0</v>
      </c>
      <c r="J452" s="64">
        <v>0</v>
      </c>
      <c r="K452" s="64">
        <v>0</v>
      </c>
      <c r="L452" s="64">
        <v>0</v>
      </c>
      <c r="M452" s="65">
        <v>0</v>
      </c>
    </row>
    <row r="453" spans="1:13" ht="18.75" customHeight="1" x14ac:dyDescent="0.3">
      <c r="A453" s="432" t="s">
        <v>223</v>
      </c>
      <c r="B453" s="509" t="s">
        <v>333</v>
      </c>
      <c r="C453" s="111" t="s">
        <v>160</v>
      </c>
      <c r="D453" s="115">
        <v>758</v>
      </c>
      <c r="E453" s="63">
        <f t="shared" ref="E453:G453" si="81">SUM(E454:E459)</f>
        <v>0</v>
      </c>
      <c r="F453" s="63">
        <f t="shared" si="81"/>
        <v>0</v>
      </c>
      <c r="G453" s="63">
        <f t="shared" si="81"/>
        <v>0</v>
      </c>
      <c r="H453" s="63">
        <f>SUM(H454:H459)</f>
        <v>0</v>
      </c>
      <c r="I453" s="62">
        <f>SUM(I454:I459)</f>
        <v>0</v>
      </c>
      <c r="J453" s="63">
        <f>SUM(J454:J459)</f>
        <v>0</v>
      </c>
      <c r="K453" s="62">
        <f>SUM(K454:K459)</f>
        <v>0</v>
      </c>
      <c r="L453" s="63">
        <f>SUM(L454:L459)</f>
        <v>0</v>
      </c>
      <c r="M453" s="63">
        <f>SUM(H453:L453)</f>
        <v>0</v>
      </c>
    </row>
    <row r="454" spans="1:13" ht="30" customHeight="1" x14ac:dyDescent="0.3">
      <c r="A454" s="402"/>
      <c r="B454" s="449"/>
      <c r="C454" s="30" t="s">
        <v>93</v>
      </c>
      <c r="D454" s="113"/>
      <c r="E454" s="64">
        <v>0</v>
      </c>
      <c r="F454" s="65">
        <v>0</v>
      </c>
      <c r="G454" s="64">
        <v>0</v>
      </c>
      <c r="H454" s="65">
        <v>0</v>
      </c>
      <c r="I454" s="64">
        <v>0</v>
      </c>
      <c r="J454" s="65">
        <v>0</v>
      </c>
      <c r="K454" s="64">
        <v>0</v>
      </c>
      <c r="L454" s="65">
        <v>0</v>
      </c>
      <c r="M454" s="65">
        <v>0</v>
      </c>
    </row>
    <row r="455" spans="1:13" ht="18.75" customHeight="1" x14ac:dyDescent="0.3">
      <c r="A455" s="402"/>
      <c r="B455" s="449"/>
      <c r="C455" s="31" t="s">
        <v>94</v>
      </c>
      <c r="D455" s="113">
        <v>758</v>
      </c>
      <c r="E455" s="65">
        <f>'Приложение 5'!H185</f>
        <v>0</v>
      </c>
      <c r="F455" s="65">
        <f>'Приложение 5'!I185</f>
        <v>0</v>
      </c>
      <c r="G455" s="65">
        <f>'Приложение 5'!J185</f>
        <v>0</v>
      </c>
      <c r="H455" s="65">
        <f>'Приложение 5'!K185</f>
        <v>0</v>
      </c>
      <c r="I455" s="64">
        <f>'Приложение 5'!L185</f>
        <v>0</v>
      </c>
      <c r="J455" s="65">
        <f>'Приложение 5'!M185</f>
        <v>0</v>
      </c>
      <c r="K455" s="64">
        <f>'Приложение 5'!N185</f>
        <v>0</v>
      </c>
      <c r="L455" s="65">
        <f>'Приложение 5'!O185</f>
        <v>0</v>
      </c>
      <c r="M455" s="65">
        <f>'Приложение 5'!P185</f>
        <v>0</v>
      </c>
    </row>
    <row r="456" spans="1:13" ht="47.1" customHeight="1" x14ac:dyDescent="0.3">
      <c r="A456" s="402"/>
      <c r="B456" s="449"/>
      <c r="C456" s="32" t="s">
        <v>95</v>
      </c>
      <c r="D456" s="113"/>
      <c r="E456" s="65">
        <v>0</v>
      </c>
      <c r="F456" s="65">
        <v>0</v>
      </c>
      <c r="G456" s="65">
        <v>0</v>
      </c>
      <c r="H456" s="65">
        <v>0</v>
      </c>
      <c r="I456" s="64">
        <v>0</v>
      </c>
      <c r="J456" s="64">
        <v>0</v>
      </c>
      <c r="K456" s="64">
        <v>0</v>
      </c>
      <c r="L456" s="64">
        <v>0</v>
      </c>
      <c r="M456" s="65">
        <v>0</v>
      </c>
    </row>
    <row r="457" spans="1:13" ht="63" customHeight="1" x14ac:dyDescent="0.3">
      <c r="A457" s="402"/>
      <c r="B457" s="449"/>
      <c r="C457" s="30" t="s">
        <v>96</v>
      </c>
      <c r="D457" s="113"/>
      <c r="E457" s="65">
        <v>0</v>
      </c>
      <c r="F457" s="65">
        <v>0</v>
      </c>
      <c r="G457" s="65">
        <v>0</v>
      </c>
      <c r="H457" s="65">
        <v>0</v>
      </c>
      <c r="I457" s="64">
        <v>0</v>
      </c>
      <c r="J457" s="64">
        <v>0</v>
      </c>
      <c r="K457" s="64">
        <v>0</v>
      </c>
      <c r="L457" s="64">
        <v>0</v>
      </c>
      <c r="M457" s="65">
        <v>0</v>
      </c>
    </row>
    <row r="458" spans="1:13" ht="63.95" customHeight="1" x14ac:dyDescent="0.3">
      <c r="A458" s="402"/>
      <c r="B458" s="449"/>
      <c r="C458" s="30" t="s">
        <v>97</v>
      </c>
      <c r="D458" s="113"/>
      <c r="E458" s="65">
        <v>0</v>
      </c>
      <c r="F458" s="65">
        <v>0</v>
      </c>
      <c r="G458" s="65">
        <v>0</v>
      </c>
      <c r="H458" s="65">
        <v>0</v>
      </c>
      <c r="I458" s="64">
        <v>0</v>
      </c>
      <c r="J458" s="64">
        <v>0</v>
      </c>
      <c r="K458" s="64">
        <v>0</v>
      </c>
      <c r="L458" s="64">
        <v>0</v>
      </c>
      <c r="M458" s="65">
        <v>0</v>
      </c>
    </row>
    <row r="459" spans="1:13" ht="30" x14ac:dyDescent="0.3">
      <c r="A459" s="403"/>
      <c r="B459" s="510"/>
      <c r="C459" s="101" t="s">
        <v>98</v>
      </c>
      <c r="D459" s="113"/>
      <c r="E459" s="65">
        <v>0</v>
      </c>
      <c r="F459" s="65">
        <v>0</v>
      </c>
      <c r="G459" s="65">
        <v>0</v>
      </c>
      <c r="H459" s="65">
        <v>0</v>
      </c>
      <c r="I459" s="64">
        <v>0</v>
      </c>
      <c r="J459" s="64">
        <v>0</v>
      </c>
      <c r="K459" s="64">
        <v>0</v>
      </c>
      <c r="L459" s="64">
        <v>0</v>
      </c>
      <c r="M459" s="65">
        <v>0</v>
      </c>
    </row>
    <row r="460" spans="1:13" ht="18.75" customHeight="1" x14ac:dyDescent="0.3">
      <c r="A460" s="432" t="s">
        <v>224</v>
      </c>
      <c r="B460" s="509" t="s">
        <v>162</v>
      </c>
      <c r="C460" s="111" t="s">
        <v>160</v>
      </c>
      <c r="D460" s="115">
        <v>758</v>
      </c>
      <c r="E460" s="63">
        <f t="shared" ref="E460:G460" si="82">SUM(E461:E466)</f>
        <v>0</v>
      </c>
      <c r="F460" s="63">
        <f t="shared" si="82"/>
        <v>0</v>
      </c>
      <c r="G460" s="63">
        <f t="shared" si="82"/>
        <v>0</v>
      </c>
      <c r="H460" s="63">
        <f>SUM(H461:H466)</f>
        <v>0</v>
      </c>
      <c r="I460" s="62">
        <f>SUM(I461:I466)</f>
        <v>0</v>
      </c>
      <c r="J460" s="63">
        <f>SUM(J461:J466)</f>
        <v>0</v>
      </c>
      <c r="K460" s="62">
        <f>SUM(K461:K466)</f>
        <v>0</v>
      </c>
      <c r="L460" s="63">
        <f>SUM(L461:L466)</f>
        <v>0</v>
      </c>
      <c r="M460" s="63">
        <f>SUM(H460:L460)</f>
        <v>0</v>
      </c>
    </row>
    <row r="461" spans="1:13" ht="30" customHeight="1" x14ac:dyDescent="0.3">
      <c r="A461" s="402"/>
      <c r="B461" s="449"/>
      <c r="C461" s="30" t="s">
        <v>93</v>
      </c>
      <c r="D461" s="113"/>
      <c r="E461" s="64">
        <v>0</v>
      </c>
      <c r="F461" s="65">
        <v>0</v>
      </c>
      <c r="G461" s="64">
        <v>0</v>
      </c>
      <c r="H461" s="65">
        <v>0</v>
      </c>
      <c r="I461" s="64">
        <v>0</v>
      </c>
      <c r="J461" s="65">
        <v>0</v>
      </c>
      <c r="K461" s="64">
        <v>0</v>
      </c>
      <c r="L461" s="65">
        <v>0</v>
      </c>
      <c r="M461" s="65">
        <f t="shared" ref="M461:M462" si="83">SUM(H461:L461)</f>
        <v>0</v>
      </c>
    </row>
    <row r="462" spans="1:13" ht="18.75" customHeight="1" x14ac:dyDescent="0.3">
      <c r="A462" s="402"/>
      <c r="B462" s="449"/>
      <c r="C462" s="31" t="s">
        <v>94</v>
      </c>
      <c r="D462" s="113">
        <v>758</v>
      </c>
      <c r="E462" s="65">
        <f>'Приложение 5'!H186</f>
        <v>0</v>
      </c>
      <c r="F462" s="65">
        <f>'Приложение 5'!I186</f>
        <v>0</v>
      </c>
      <c r="G462" s="65">
        <f>'Приложение 5'!J186</f>
        <v>0</v>
      </c>
      <c r="H462" s="65">
        <f>'Приложение 5'!K186</f>
        <v>0</v>
      </c>
      <c r="I462" s="65">
        <f>'Приложение 5'!L186</f>
        <v>0</v>
      </c>
      <c r="J462" s="65">
        <f>'Приложение 5'!M186</f>
        <v>0</v>
      </c>
      <c r="K462" s="65">
        <f>'Приложение 5'!N186</f>
        <v>0</v>
      </c>
      <c r="L462" s="65">
        <f>'Приложение 5'!O186</f>
        <v>0</v>
      </c>
      <c r="M462" s="65">
        <f t="shared" si="83"/>
        <v>0</v>
      </c>
    </row>
    <row r="463" spans="1:13" ht="47.1" customHeight="1" x14ac:dyDescent="0.3">
      <c r="A463" s="402"/>
      <c r="B463" s="449"/>
      <c r="C463" s="32" t="s">
        <v>95</v>
      </c>
      <c r="D463" s="113"/>
      <c r="E463" s="65">
        <v>0</v>
      </c>
      <c r="F463" s="65">
        <v>0</v>
      </c>
      <c r="G463" s="65">
        <v>0</v>
      </c>
      <c r="H463" s="65">
        <v>0</v>
      </c>
      <c r="I463" s="64">
        <v>0</v>
      </c>
      <c r="J463" s="64">
        <v>0</v>
      </c>
      <c r="K463" s="64">
        <v>0</v>
      </c>
      <c r="L463" s="64">
        <v>0</v>
      </c>
      <c r="M463" s="65">
        <v>0</v>
      </c>
    </row>
    <row r="464" spans="1:13" ht="63" customHeight="1" x14ac:dyDescent="0.3">
      <c r="A464" s="402"/>
      <c r="B464" s="449"/>
      <c r="C464" s="30" t="s">
        <v>96</v>
      </c>
      <c r="D464" s="113"/>
      <c r="E464" s="65">
        <v>0</v>
      </c>
      <c r="F464" s="65">
        <v>0</v>
      </c>
      <c r="G464" s="65">
        <v>0</v>
      </c>
      <c r="H464" s="65">
        <v>0</v>
      </c>
      <c r="I464" s="64">
        <v>0</v>
      </c>
      <c r="J464" s="64">
        <v>0</v>
      </c>
      <c r="K464" s="64">
        <v>0</v>
      </c>
      <c r="L464" s="64">
        <v>0</v>
      </c>
      <c r="M464" s="65">
        <v>0</v>
      </c>
    </row>
    <row r="465" spans="1:13" ht="63.95" customHeight="1" x14ac:dyDescent="0.3">
      <c r="A465" s="402"/>
      <c r="B465" s="449"/>
      <c r="C465" s="30" t="s">
        <v>97</v>
      </c>
      <c r="D465" s="113"/>
      <c r="E465" s="65">
        <v>0</v>
      </c>
      <c r="F465" s="65">
        <v>0</v>
      </c>
      <c r="G465" s="65">
        <v>0</v>
      </c>
      <c r="H465" s="65">
        <v>0</v>
      </c>
      <c r="I465" s="64">
        <v>0</v>
      </c>
      <c r="J465" s="64">
        <v>0</v>
      </c>
      <c r="K465" s="64">
        <v>0</v>
      </c>
      <c r="L465" s="64">
        <v>0</v>
      </c>
      <c r="M465" s="65">
        <v>0</v>
      </c>
    </row>
    <row r="466" spans="1:13" ht="30" x14ac:dyDescent="0.3">
      <c r="A466" s="403"/>
      <c r="B466" s="510"/>
      <c r="C466" s="101" t="s">
        <v>98</v>
      </c>
      <c r="D466" s="113"/>
      <c r="E466" s="65">
        <v>0</v>
      </c>
      <c r="F466" s="65">
        <v>0</v>
      </c>
      <c r="G466" s="65">
        <v>0</v>
      </c>
      <c r="H466" s="65">
        <v>0</v>
      </c>
      <c r="I466" s="64">
        <v>0</v>
      </c>
      <c r="J466" s="64">
        <v>0</v>
      </c>
      <c r="K466" s="64">
        <v>0</v>
      </c>
      <c r="L466" s="64">
        <v>0</v>
      </c>
      <c r="M466" s="65">
        <v>0</v>
      </c>
    </row>
    <row r="467" spans="1:13" ht="18.75" customHeight="1" x14ac:dyDescent="0.3">
      <c r="A467" s="432" t="s">
        <v>225</v>
      </c>
      <c r="B467" s="509" t="s">
        <v>156</v>
      </c>
      <c r="C467" s="111" t="s">
        <v>160</v>
      </c>
      <c r="D467" s="115">
        <v>775</v>
      </c>
      <c r="E467" s="63">
        <f t="shared" ref="E467:G467" si="84">SUM(E468:E473)</f>
        <v>0</v>
      </c>
      <c r="F467" s="63">
        <f t="shared" si="84"/>
        <v>0</v>
      </c>
      <c r="G467" s="63">
        <f t="shared" si="84"/>
        <v>0</v>
      </c>
      <c r="H467" s="63">
        <f>SUM(H468:H473)</f>
        <v>45000</v>
      </c>
      <c r="I467" s="62">
        <f>SUM(I468:I473)</f>
        <v>0</v>
      </c>
      <c r="J467" s="63">
        <f>SUM(J468:J473)</f>
        <v>0</v>
      </c>
      <c r="K467" s="62">
        <f>SUM(K468:K473)</f>
        <v>0</v>
      </c>
      <c r="L467" s="63">
        <f>SUM(L468:L473)</f>
        <v>0</v>
      </c>
      <c r="M467" s="63">
        <f>SUM(H467:I467)</f>
        <v>45000</v>
      </c>
    </row>
    <row r="468" spans="1:13" ht="30" customHeight="1" x14ac:dyDescent="0.3">
      <c r="A468" s="402"/>
      <c r="B468" s="449"/>
      <c r="C468" s="30" t="s">
        <v>93</v>
      </c>
      <c r="D468" s="113"/>
      <c r="E468" s="64">
        <v>0</v>
      </c>
      <c r="F468" s="65">
        <v>0</v>
      </c>
      <c r="G468" s="64">
        <v>0</v>
      </c>
      <c r="H468" s="65">
        <v>0</v>
      </c>
      <c r="I468" s="64">
        <v>0</v>
      </c>
      <c r="J468" s="65">
        <v>0</v>
      </c>
      <c r="K468" s="64">
        <v>0</v>
      </c>
      <c r="L468" s="65">
        <v>0</v>
      </c>
      <c r="M468" s="65">
        <v>0</v>
      </c>
    </row>
    <row r="469" spans="1:13" ht="18.75" customHeight="1" x14ac:dyDescent="0.3">
      <c r="A469" s="402"/>
      <c r="B469" s="449"/>
      <c r="C469" s="31" t="s">
        <v>94</v>
      </c>
      <c r="D469" s="113">
        <v>775</v>
      </c>
      <c r="E469" s="65">
        <f>'Приложение 5'!H187</f>
        <v>0</v>
      </c>
      <c r="F469" s="65">
        <f>'Приложение 5'!I187</f>
        <v>0</v>
      </c>
      <c r="G469" s="65">
        <f>'Приложение 5'!J187</f>
        <v>0</v>
      </c>
      <c r="H469" s="65">
        <f>'Приложение 5'!K187</f>
        <v>45000</v>
      </c>
      <c r="I469" s="64">
        <f>'Приложение 5'!L187</f>
        <v>0</v>
      </c>
      <c r="J469" s="65">
        <f>'Приложение 5'!M187</f>
        <v>0</v>
      </c>
      <c r="K469" s="64">
        <f>'Приложение 5'!N187</f>
        <v>0</v>
      </c>
      <c r="L469" s="65">
        <f>'Приложение 5'!O187</f>
        <v>0</v>
      </c>
      <c r="M469" s="65">
        <f>'Приложение 5'!P187</f>
        <v>45000</v>
      </c>
    </row>
    <row r="470" spans="1:13" ht="47.1" customHeight="1" x14ac:dyDescent="0.3">
      <c r="A470" s="402"/>
      <c r="B470" s="449"/>
      <c r="C470" s="32" t="s">
        <v>95</v>
      </c>
      <c r="D470" s="113"/>
      <c r="E470" s="65">
        <v>0</v>
      </c>
      <c r="F470" s="65">
        <v>0</v>
      </c>
      <c r="G470" s="65">
        <v>0</v>
      </c>
      <c r="H470" s="65">
        <v>0</v>
      </c>
      <c r="I470" s="64">
        <v>0</v>
      </c>
      <c r="J470" s="64">
        <v>0</v>
      </c>
      <c r="K470" s="64">
        <v>0</v>
      </c>
      <c r="L470" s="64">
        <v>0</v>
      </c>
      <c r="M470" s="65">
        <v>0</v>
      </c>
    </row>
    <row r="471" spans="1:13" ht="63" customHeight="1" x14ac:dyDescent="0.3">
      <c r="A471" s="402"/>
      <c r="B471" s="449"/>
      <c r="C471" s="30" t="s">
        <v>96</v>
      </c>
      <c r="D471" s="113"/>
      <c r="E471" s="65">
        <v>0</v>
      </c>
      <c r="F471" s="65">
        <v>0</v>
      </c>
      <c r="G471" s="65">
        <v>0</v>
      </c>
      <c r="H471" s="65">
        <v>0</v>
      </c>
      <c r="I471" s="64">
        <v>0</v>
      </c>
      <c r="J471" s="64">
        <v>0</v>
      </c>
      <c r="K471" s="64">
        <v>0</v>
      </c>
      <c r="L471" s="64">
        <v>0</v>
      </c>
      <c r="M471" s="65">
        <v>0</v>
      </c>
    </row>
    <row r="472" spans="1:13" ht="63.95" customHeight="1" x14ac:dyDescent="0.3">
      <c r="A472" s="402"/>
      <c r="B472" s="449"/>
      <c r="C472" s="30" t="s">
        <v>97</v>
      </c>
      <c r="D472" s="113"/>
      <c r="E472" s="65">
        <v>0</v>
      </c>
      <c r="F472" s="65">
        <v>0</v>
      </c>
      <c r="G472" s="65">
        <v>0</v>
      </c>
      <c r="H472" s="65">
        <v>0</v>
      </c>
      <c r="I472" s="64">
        <v>0</v>
      </c>
      <c r="J472" s="64">
        <v>0</v>
      </c>
      <c r="K472" s="64">
        <v>0</v>
      </c>
      <c r="L472" s="64">
        <v>0</v>
      </c>
      <c r="M472" s="65">
        <v>0</v>
      </c>
    </row>
    <row r="473" spans="1:13" ht="30" x14ac:dyDescent="0.3">
      <c r="A473" s="403"/>
      <c r="B473" s="510"/>
      <c r="C473" s="101" t="s">
        <v>98</v>
      </c>
      <c r="D473" s="113"/>
      <c r="E473" s="65">
        <v>0</v>
      </c>
      <c r="F473" s="65">
        <v>0</v>
      </c>
      <c r="G473" s="65">
        <v>0</v>
      </c>
      <c r="H473" s="65">
        <v>0</v>
      </c>
      <c r="I473" s="64">
        <v>0</v>
      </c>
      <c r="J473" s="64">
        <v>0</v>
      </c>
      <c r="K473" s="64">
        <v>0</v>
      </c>
      <c r="L473" s="64">
        <v>0</v>
      </c>
      <c r="M473" s="65">
        <v>0</v>
      </c>
    </row>
    <row r="474" spans="1:13" ht="18.75" customHeight="1" x14ac:dyDescent="0.3">
      <c r="A474" s="432" t="s">
        <v>226</v>
      </c>
      <c r="B474" s="493" t="s">
        <v>157</v>
      </c>
      <c r="C474" s="111" t="s">
        <v>160</v>
      </c>
      <c r="D474" s="115">
        <v>755</v>
      </c>
      <c r="E474" s="63">
        <f t="shared" ref="E474:G474" si="85">SUM(E475:E480)</f>
        <v>0</v>
      </c>
      <c r="F474" s="63">
        <f t="shared" si="85"/>
        <v>0</v>
      </c>
      <c r="G474" s="63">
        <f t="shared" si="85"/>
        <v>0</v>
      </c>
      <c r="H474" s="63">
        <f>SUM(H475:H480)</f>
        <v>0</v>
      </c>
      <c r="I474" s="62">
        <f>SUM(I475:I480)</f>
        <v>0</v>
      </c>
      <c r="J474" s="63">
        <f>SUM(J475:J480)</f>
        <v>0</v>
      </c>
      <c r="K474" s="62">
        <f>SUM(K475:K480)</f>
        <v>0</v>
      </c>
      <c r="L474" s="63">
        <f>SUM(L475:L480)</f>
        <v>0</v>
      </c>
      <c r="M474" s="63">
        <f>SUM(H474:I474)</f>
        <v>0</v>
      </c>
    </row>
    <row r="475" spans="1:13" ht="30" customHeight="1" x14ac:dyDescent="0.3">
      <c r="A475" s="402"/>
      <c r="B475" s="393"/>
      <c r="C475" s="30" t="s">
        <v>93</v>
      </c>
      <c r="D475" s="113"/>
      <c r="E475" s="64">
        <v>0</v>
      </c>
      <c r="F475" s="65">
        <v>0</v>
      </c>
      <c r="G475" s="64">
        <v>0</v>
      </c>
      <c r="H475" s="65">
        <v>0</v>
      </c>
      <c r="I475" s="64">
        <v>0</v>
      </c>
      <c r="J475" s="65">
        <v>0</v>
      </c>
      <c r="K475" s="64">
        <v>0</v>
      </c>
      <c r="L475" s="65">
        <v>0</v>
      </c>
      <c r="M475" s="65">
        <v>0</v>
      </c>
    </row>
    <row r="476" spans="1:13" ht="18.75" customHeight="1" x14ac:dyDescent="0.3">
      <c r="A476" s="402"/>
      <c r="B476" s="393"/>
      <c r="C476" s="31" t="s">
        <v>94</v>
      </c>
      <c r="D476" s="113">
        <v>755</v>
      </c>
      <c r="E476" s="65">
        <f>'Приложение 5'!H188</f>
        <v>0</v>
      </c>
      <c r="F476" s="65">
        <f>'Приложение 5'!I188</f>
        <v>0</v>
      </c>
      <c r="G476" s="65">
        <f>'Приложение 5'!J188</f>
        <v>0</v>
      </c>
      <c r="H476" s="65">
        <f>'Приложение 5'!K188</f>
        <v>0</v>
      </c>
      <c r="I476" s="64">
        <f>'Приложение 5'!L188</f>
        <v>0</v>
      </c>
      <c r="J476" s="65">
        <f>'Приложение 5'!M188</f>
        <v>0</v>
      </c>
      <c r="K476" s="64">
        <f>'Приложение 5'!N188</f>
        <v>0</v>
      </c>
      <c r="L476" s="65">
        <f>'Приложение 5'!O188</f>
        <v>0</v>
      </c>
      <c r="M476" s="65">
        <f>'Приложение 5'!P188</f>
        <v>0</v>
      </c>
    </row>
    <row r="477" spans="1:13" ht="47.1" customHeight="1" x14ac:dyDescent="0.3">
      <c r="A477" s="402"/>
      <c r="B477" s="393"/>
      <c r="C477" s="32" t="s">
        <v>95</v>
      </c>
      <c r="D477" s="113"/>
      <c r="E477" s="65">
        <v>0</v>
      </c>
      <c r="F477" s="65">
        <v>0</v>
      </c>
      <c r="G477" s="65">
        <v>0</v>
      </c>
      <c r="H477" s="65">
        <v>0</v>
      </c>
      <c r="I477" s="64">
        <v>0</v>
      </c>
      <c r="J477" s="64">
        <v>0</v>
      </c>
      <c r="K477" s="64">
        <v>0</v>
      </c>
      <c r="L477" s="64">
        <v>0</v>
      </c>
      <c r="M477" s="65">
        <v>0</v>
      </c>
    </row>
    <row r="478" spans="1:13" ht="63" customHeight="1" x14ac:dyDescent="0.3">
      <c r="A478" s="402"/>
      <c r="B478" s="393"/>
      <c r="C478" s="30" t="s">
        <v>96</v>
      </c>
      <c r="D478" s="113"/>
      <c r="E478" s="65">
        <v>0</v>
      </c>
      <c r="F478" s="65">
        <v>0</v>
      </c>
      <c r="G478" s="65">
        <v>0</v>
      </c>
      <c r="H478" s="65">
        <v>0</v>
      </c>
      <c r="I478" s="64">
        <v>0</v>
      </c>
      <c r="J478" s="64">
        <v>0</v>
      </c>
      <c r="K478" s="64">
        <v>0</v>
      </c>
      <c r="L478" s="64">
        <v>0</v>
      </c>
      <c r="M478" s="65">
        <v>0</v>
      </c>
    </row>
    <row r="479" spans="1:13" ht="63.95" customHeight="1" x14ac:dyDescent="0.3">
      <c r="A479" s="402"/>
      <c r="B479" s="393"/>
      <c r="C479" s="30" t="s">
        <v>97</v>
      </c>
      <c r="D479" s="113"/>
      <c r="E479" s="65">
        <v>0</v>
      </c>
      <c r="F479" s="65">
        <v>0</v>
      </c>
      <c r="G479" s="65">
        <v>0</v>
      </c>
      <c r="H479" s="65">
        <v>0</v>
      </c>
      <c r="I479" s="64">
        <v>0</v>
      </c>
      <c r="J479" s="64">
        <v>0</v>
      </c>
      <c r="K479" s="64">
        <v>0</v>
      </c>
      <c r="L479" s="64">
        <v>0</v>
      </c>
      <c r="M479" s="65">
        <v>0</v>
      </c>
    </row>
    <row r="480" spans="1:13" ht="30" x14ac:dyDescent="0.3">
      <c r="A480" s="403"/>
      <c r="B480" s="506"/>
      <c r="C480" s="101" t="s">
        <v>98</v>
      </c>
      <c r="D480" s="113"/>
      <c r="E480" s="65">
        <v>0</v>
      </c>
      <c r="F480" s="65">
        <v>0</v>
      </c>
      <c r="G480" s="65">
        <v>0</v>
      </c>
      <c r="H480" s="65">
        <v>0</v>
      </c>
      <c r="I480" s="64">
        <v>0</v>
      </c>
      <c r="J480" s="64">
        <v>0</v>
      </c>
      <c r="K480" s="64">
        <v>0</v>
      </c>
      <c r="L480" s="64">
        <v>0</v>
      </c>
      <c r="M480" s="65">
        <v>0</v>
      </c>
    </row>
    <row r="481" spans="1:19" ht="18.75" customHeight="1" x14ac:dyDescent="0.3">
      <c r="A481" s="432" t="s">
        <v>135</v>
      </c>
      <c r="B481" s="493" t="s">
        <v>377</v>
      </c>
      <c r="C481" s="111" t="s">
        <v>160</v>
      </c>
      <c r="D481" s="115">
        <v>755</v>
      </c>
      <c r="E481" s="63">
        <f t="shared" ref="E481:G481" si="86">E483</f>
        <v>0</v>
      </c>
      <c r="F481" s="63">
        <f t="shared" si="86"/>
        <v>0</v>
      </c>
      <c r="G481" s="63">
        <f t="shared" si="86"/>
        <v>0</v>
      </c>
      <c r="H481" s="63">
        <f t="shared" ref="H481:L481" si="87">H483</f>
        <v>0</v>
      </c>
      <c r="I481" s="62">
        <f t="shared" si="87"/>
        <v>0</v>
      </c>
      <c r="J481" s="62">
        <f t="shared" si="87"/>
        <v>0</v>
      </c>
      <c r="K481" s="62">
        <f t="shared" si="87"/>
        <v>0</v>
      </c>
      <c r="L481" s="62">
        <f t="shared" si="87"/>
        <v>0</v>
      </c>
      <c r="M481" s="63">
        <f>SUM(H481:L481)</f>
        <v>0</v>
      </c>
    </row>
    <row r="482" spans="1:19" ht="30" customHeight="1" x14ac:dyDescent="0.3">
      <c r="A482" s="402"/>
      <c r="B482" s="393"/>
      <c r="C482" s="30" t="s">
        <v>93</v>
      </c>
      <c r="D482" s="113"/>
      <c r="E482" s="65">
        <v>0</v>
      </c>
      <c r="F482" s="65">
        <v>0</v>
      </c>
      <c r="G482" s="65">
        <v>0</v>
      </c>
      <c r="H482" s="65">
        <v>0</v>
      </c>
      <c r="I482" s="65">
        <v>0</v>
      </c>
      <c r="J482" s="65">
        <v>0</v>
      </c>
      <c r="K482" s="65">
        <v>0</v>
      </c>
      <c r="L482" s="65">
        <v>0</v>
      </c>
      <c r="M482" s="65">
        <v>0</v>
      </c>
    </row>
    <row r="483" spans="1:19" ht="18.75" customHeight="1" x14ac:dyDescent="0.3">
      <c r="A483" s="402"/>
      <c r="B483" s="393"/>
      <c r="C483" s="31" t="s">
        <v>94</v>
      </c>
      <c r="D483" s="113">
        <v>755</v>
      </c>
      <c r="E483" s="65">
        <v>0</v>
      </c>
      <c r="F483" s="65">
        <v>0</v>
      </c>
      <c r="G483" s="65">
        <v>0</v>
      </c>
      <c r="H483" s="65">
        <f>'Приложение 5'!K189</f>
        <v>0</v>
      </c>
      <c r="I483" s="65">
        <f>'Приложение 5'!L189</f>
        <v>0</v>
      </c>
      <c r="J483" s="65">
        <f>'Приложение 5'!M189</f>
        <v>0</v>
      </c>
      <c r="K483" s="65">
        <f>'Приложение 5'!N189</f>
        <v>0</v>
      </c>
      <c r="L483" s="65">
        <f>'Приложение 5'!O189</f>
        <v>0</v>
      </c>
      <c r="M483" s="65">
        <f>SUM(E483:L483)</f>
        <v>0</v>
      </c>
    </row>
    <row r="484" spans="1:19" ht="47.1" customHeight="1" x14ac:dyDescent="0.3">
      <c r="A484" s="402"/>
      <c r="B484" s="393"/>
      <c r="C484" s="32" t="s">
        <v>95</v>
      </c>
      <c r="D484" s="113"/>
      <c r="E484" s="65">
        <v>0</v>
      </c>
      <c r="F484" s="65">
        <v>0</v>
      </c>
      <c r="G484" s="65">
        <v>0</v>
      </c>
      <c r="H484" s="65">
        <v>0</v>
      </c>
      <c r="I484" s="65">
        <v>0</v>
      </c>
      <c r="J484" s="65">
        <v>0</v>
      </c>
      <c r="K484" s="65">
        <v>0</v>
      </c>
      <c r="L484" s="65">
        <v>0</v>
      </c>
      <c r="M484" s="65">
        <v>0</v>
      </c>
    </row>
    <row r="485" spans="1:19" ht="63" customHeight="1" x14ac:dyDescent="0.3">
      <c r="A485" s="402"/>
      <c r="B485" s="393"/>
      <c r="C485" s="30" t="s">
        <v>96</v>
      </c>
      <c r="D485" s="113"/>
      <c r="E485" s="65">
        <v>0</v>
      </c>
      <c r="F485" s="65">
        <v>0</v>
      </c>
      <c r="G485" s="65">
        <v>0</v>
      </c>
      <c r="H485" s="65">
        <v>0</v>
      </c>
      <c r="I485" s="65">
        <v>0</v>
      </c>
      <c r="J485" s="65">
        <v>0</v>
      </c>
      <c r="K485" s="65">
        <v>0</v>
      </c>
      <c r="L485" s="65">
        <v>0</v>
      </c>
      <c r="M485" s="65">
        <v>0</v>
      </c>
    </row>
    <row r="486" spans="1:19" ht="63.95" customHeight="1" x14ac:dyDescent="0.3">
      <c r="A486" s="402"/>
      <c r="B486" s="393"/>
      <c r="C486" s="30" t="s">
        <v>97</v>
      </c>
      <c r="D486" s="113"/>
      <c r="E486" s="65">
        <v>0</v>
      </c>
      <c r="F486" s="65">
        <v>0</v>
      </c>
      <c r="G486" s="65">
        <v>0</v>
      </c>
      <c r="H486" s="65">
        <v>0</v>
      </c>
      <c r="I486" s="65">
        <v>0</v>
      </c>
      <c r="J486" s="65">
        <v>0</v>
      </c>
      <c r="K486" s="65">
        <v>0</v>
      </c>
      <c r="L486" s="65">
        <v>0</v>
      </c>
      <c r="M486" s="65">
        <v>0</v>
      </c>
    </row>
    <row r="487" spans="1:19" ht="30" x14ac:dyDescent="0.3">
      <c r="A487" s="403"/>
      <c r="B487" s="506"/>
      <c r="C487" s="101" t="s">
        <v>98</v>
      </c>
      <c r="D487" s="113"/>
      <c r="E487" s="65">
        <v>0</v>
      </c>
      <c r="F487" s="65">
        <v>0</v>
      </c>
      <c r="G487" s="65">
        <v>0</v>
      </c>
      <c r="H487" s="65">
        <v>0</v>
      </c>
      <c r="I487" s="65">
        <v>0</v>
      </c>
      <c r="J487" s="65">
        <v>0</v>
      </c>
      <c r="K487" s="65">
        <v>0</v>
      </c>
      <c r="L487" s="65">
        <v>0</v>
      </c>
      <c r="M487" s="65">
        <v>0</v>
      </c>
    </row>
    <row r="488" spans="1:19" ht="18.75" customHeight="1" x14ac:dyDescent="0.3">
      <c r="A488" s="432" t="s">
        <v>228</v>
      </c>
      <c r="B488" s="509" t="s">
        <v>227</v>
      </c>
      <c r="C488" s="111" t="s">
        <v>160</v>
      </c>
      <c r="D488" s="115">
        <v>755</v>
      </c>
      <c r="E488" s="63">
        <f t="shared" ref="E488:G488" si="88">SUM(E489:E494)</f>
        <v>0</v>
      </c>
      <c r="F488" s="63">
        <f t="shared" si="88"/>
        <v>0</v>
      </c>
      <c r="G488" s="63">
        <f t="shared" si="88"/>
        <v>0</v>
      </c>
      <c r="H488" s="63">
        <f>SUM(H489:H494)</f>
        <v>0</v>
      </c>
      <c r="I488" s="62">
        <f>SUM(I489:I494)</f>
        <v>0</v>
      </c>
      <c r="J488" s="63">
        <f>SUM(J489:J494)</f>
        <v>0</v>
      </c>
      <c r="K488" s="62">
        <f>SUM(K489:K494)</f>
        <v>0</v>
      </c>
      <c r="L488" s="63">
        <f>SUM(L489:L494)</f>
        <v>0</v>
      </c>
      <c r="M488" s="63">
        <f>SUM(H488:L488)</f>
        <v>0</v>
      </c>
    </row>
    <row r="489" spans="1:19" ht="30" customHeight="1" x14ac:dyDescent="0.3">
      <c r="A489" s="402"/>
      <c r="B489" s="449"/>
      <c r="C489" s="30" t="s">
        <v>93</v>
      </c>
      <c r="D489" s="113"/>
      <c r="E489" s="65">
        <v>0</v>
      </c>
      <c r="F489" s="65">
        <v>0</v>
      </c>
      <c r="G489" s="65">
        <v>0</v>
      </c>
      <c r="H489" s="65">
        <v>0</v>
      </c>
      <c r="I489" s="64">
        <v>0</v>
      </c>
      <c r="J489" s="65">
        <v>0</v>
      </c>
      <c r="K489" s="64">
        <v>0</v>
      </c>
      <c r="L489" s="65">
        <v>0</v>
      </c>
      <c r="M489" s="65">
        <v>0</v>
      </c>
    </row>
    <row r="490" spans="1:19" ht="18.75" customHeight="1" x14ac:dyDescent="0.3">
      <c r="A490" s="402"/>
      <c r="B490" s="449"/>
      <c r="C490" s="31" t="s">
        <v>94</v>
      </c>
      <c r="D490" s="113">
        <v>755</v>
      </c>
      <c r="E490" s="65">
        <f>'Приложение 5'!H191</f>
        <v>0</v>
      </c>
      <c r="F490" s="65">
        <f>'Приложение 5'!I191</f>
        <v>0</v>
      </c>
      <c r="G490" s="65">
        <f>'Приложение 5'!J191</f>
        <v>0</v>
      </c>
      <c r="H490" s="65">
        <f>'Приложение 5'!K191</f>
        <v>0</v>
      </c>
      <c r="I490" s="64">
        <f>'Приложение 5'!L191</f>
        <v>0</v>
      </c>
      <c r="J490" s="65">
        <f>'Приложение 5'!M191</f>
        <v>0</v>
      </c>
      <c r="K490" s="64">
        <f>'Приложение 5'!N191</f>
        <v>0</v>
      </c>
      <c r="L490" s="65">
        <f>'Приложение 5'!O191</f>
        <v>0</v>
      </c>
      <c r="M490" s="65">
        <f>'Приложение 5'!P191</f>
        <v>0</v>
      </c>
    </row>
    <row r="491" spans="1:19" ht="47.1" customHeight="1" x14ac:dyDescent="0.3">
      <c r="A491" s="402"/>
      <c r="B491" s="449"/>
      <c r="C491" s="32" t="s">
        <v>95</v>
      </c>
      <c r="D491" s="113"/>
      <c r="E491" s="65">
        <v>0</v>
      </c>
      <c r="F491" s="65">
        <v>0</v>
      </c>
      <c r="G491" s="65">
        <v>0</v>
      </c>
      <c r="H491" s="65">
        <v>0</v>
      </c>
      <c r="I491" s="64">
        <v>0</v>
      </c>
      <c r="J491" s="64">
        <v>0</v>
      </c>
      <c r="K491" s="64">
        <v>0</v>
      </c>
      <c r="L491" s="64">
        <v>0</v>
      </c>
      <c r="M491" s="65">
        <v>0</v>
      </c>
    </row>
    <row r="492" spans="1:19" ht="63" customHeight="1" x14ac:dyDescent="0.3">
      <c r="A492" s="402"/>
      <c r="B492" s="449"/>
      <c r="C492" s="30" t="s">
        <v>96</v>
      </c>
      <c r="D492" s="113"/>
      <c r="E492" s="65">
        <v>0</v>
      </c>
      <c r="F492" s="65">
        <v>0</v>
      </c>
      <c r="G492" s="65">
        <v>0</v>
      </c>
      <c r="H492" s="65">
        <v>0</v>
      </c>
      <c r="I492" s="64">
        <v>0</v>
      </c>
      <c r="J492" s="64">
        <v>0</v>
      </c>
      <c r="K492" s="64">
        <v>0</v>
      </c>
      <c r="L492" s="64">
        <v>0</v>
      </c>
      <c r="M492" s="65">
        <v>0</v>
      </c>
    </row>
    <row r="493" spans="1:19" ht="63.95" customHeight="1" x14ac:dyDescent="0.3">
      <c r="A493" s="402"/>
      <c r="B493" s="449"/>
      <c r="C493" s="30" t="s">
        <v>97</v>
      </c>
      <c r="D493" s="113"/>
      <c r="E493" s="65">
        <v>0</v>
      </c>
      <c r="F493" s="65">
        <v>0</v>
      </c>
      <c r="G493" s="65">
        <v>0</v>
      </c>
      <c r="H493" s="65">
        <v>0</v>
      </c>
      <c r="I493" s="64">
        <v>0</v>
      </c>
      <c r="J493" s="64">
        <v>0</v>
      </c>
      <c r="K493" s="64">
        <v>0</v>
      </c>
      <c r="L493" s="64">
        <v>0</v>
      </c>
      <c r="M493" s="65">
        <v>0</v>
      </c>
    </row>
    <row r="494" spans="1:19" ht="30" x14ac:dyDescent="0.3">
      <c r="A494" s="403"/>
      <c r="B494" s="510"/>
      <c r="C494" s="101" t="s">
        <v>98</v>
      </c>
      <c r="D494" s="113"/>
      <c r="E494" s="65">
        <v>0</v>
      </c>
      <c r="F494" s="65">
        <v>0</v>
      </c>
      <c r="G494" s="65">
        <v>0</v>
      </c>
      <c r="H494" s="65">
        <v>0</v>
      </c>
      <c r="I494" s="64">
        <v>0</v>
      </c>
      <c r="J494" s="64">
        <v>0</v>
      </c>
      <c r="K494" s="64">
        <v>0</v>
      </c>
      <c r="L494" s="64">
        <v>0</v>
      </c>
      <c r="M494" s="65">
        <v>0</v>
      </c>
    </row>
    <row r="495" spans="1:19" s="10" customFormat="1" ht="18.75" customHeight="1" x14ac:dyDescent="0.25">
      <c r="A495" s="511" t="s">
        <v>164</v>
      </c>
      <c r="B495" s="560" t="s">
        <v>265</v>
      </c>
      <c r="C495" s="116" t="s">
        <v>27</v>
      </c>
      <c r="D495" s="117">
        <v>771</v>
      </c>
      <c r="E495" s="92">
        <f>SUM(E496:E501)</f>
        <v>421111</v>
      </c>
      <c r="F495" s="92">
        <f t="shared" ref="F495:L495" si="89">SUM(F496:F501)</f>
        <v>453719.42999999993</v>
      </c>
      <c r="G495" s="92">
        <f t="shared" si="89"/>
        <v>303569.08299999998</v>
      </c>
      <c r="H495" s="92">
        <f t="shared" si="89"/>
        <v>312163.53174000001</v>
      </c>
      <c r="I495" s="92">
        <f t="shared" si="89"/>
        <v>298141.27300000004</v>
      </c>
      <c r="J495" s="92">
        <f t="shared" si="89"/>
        <v>298141.27300000004</v>
      </c>
      <c r="K495" s="92">
        <f t="shared" si="89"/>
        <v>298141.27300000004</v>
      </c>
      <c r="L495" s="92">
        <f t="shared" si="89"/>
        <v>298141.27300000004</v>
      </c>
      <c r="M495" s="63">
        <f>SUM(E495:L495)</f>
        <v>2683128.13674</v>
      </c>
      <c r="N495" s="9"/>
      <c r="O495" s="3"/>
      <c r="P495" s="3"/>
      <c r="Q495" s="3"/>
      <c r="R495" s="3"/>
      <c r="S495" s="3"/>
    </row>
    <row r="496" spans="1:19" s="10" customFormat="1" ht="30" customHeight="1" x14ac:dyDescent="0.25">
      <c r="A496" s="398"/>
      <c r="B496" s="561"/>
      <c r="C496" s="97" t="s">
        <v>93</v>
      </c>
      <c r="D496" s="117"/>
      <c r="E496" s="72">
        <v>0</v>
      </c>
      <c r="F496" s="72">
        <v>0</v>
      </c>
      <c r="G496" s="72">
        <v>0</v>
      </c>
      <c r="H496" s="72">
        <v>0</v>
      </c>
      <c r="I496" s="72">
        <v>0</v>
      </c>
      <c r="J496" s="72">
        <v>0</v>
      </c>
      <c r="K496" s="72">
        <v>0</v>
      </c>
      <c r="L496" s="72">
        <v>0</v>
      </c>
      <c r="M496" s="72">
        <v>0</v>
      </c>
      <c r="N496" s="9"/>
      <c r="O496" s="3"/>
      <c r="P496" s="3"/>
      <c r="Q496" s="3"/>
      <c r="R496" s="3"/>
      <c r="S496" s="3"/>
    </row>
    <row r="497" spans="1:19" s="10" customFormat="1" ht="18.75" customHeight="1" x14ac:dyDescent="0.25">
      <c r="A497" s="398"/>
      <c r="B497" s="561"/>
      <c r="C497" s="97" t="s">
        <v>94</v>
      </c>
      <c r="D497" s="117">
        <v>771</v>
      </c>
      <c r="E497" s="72">
        <f>'Приложение 5'!H192</f>
        <v>421111</v>
      </c>
      <c r="F497" s="72">
        <f>'Приложение 5'!I192</f>
        <v>453719.42999999993</v>
      </c>
      <c r="G497" s="72">
        <f>'Приложение 5'!J192</f>
        <v>303569.08299999998</v>
      </c>
      <c r="H497" s="72">
        <f>'Приложение 5'!K192</f>
        <v>312163.53174000001</v>
      </c>
      <c r="I497" s="72">
        <f>'Приложение 5'!L192</f>
        <v>298141.27300000004</v>
      </c>
      <c r="J497" s="72">
        <f>'Приложение 5'!M192</f>
        <v>298141.27300000004</v>
      </c>
      <c r="K497" s="72">
        <f>'Приложение 5'!N192</f>
        <v>298141.27300000004</v>
      </c>
      <c r="L497" s="72">
        <f>'Приложение 5'!O192</f>
        <v>298141.27300000004</v>
      </c>
      <c r="M497" s="72">
        <f>'Приложение 5'!P192</f>
        <v>2683128.13674</v>
      </c>
      <c r="N497" s="9"/>
      <c r="O497" s="3"/>
      <c r="P497" s="3"/>
      <c r="Q497" s="3"/>
      <c r="R497" s="3"/>
      <c r="S497" s="3"/>
    </row>
    <row r="498" spans="1:19" s="10" customFormat="1" ht="47.1" customHeight="1" x14ac:dyDescent="0.25">
      <c r="A498" s="398"/>
      <c r="B498" s="561"/>
      <c r="C498" s="97" t="s">
        <v>95</v>
      </c>
      <c r="D498" s="117"/>
      <c r="E498" s="72">
        <v>0</v>
      </c>
      <c r="F498" s="72">
        <v>0</v>
      </c>
      <c r="G498" s="72">
        <v>0</v>
      </c>
      <c r="H498" s="72">
        <v>0</v>
      </c>
      <c r="I498" s="72">
        <v>0</v>
      </c>
      <c r="J498" s="72">
        <v>0</v>
      </c>
      <c r="K498" s="72">
        <v>0</v>
      </c>
      <c r="L498" s="72">
        <v>0</v>
      </c>
      <c r="M498" s="72">
        <v>0</v>
      </c>
      <c r="N498" s="9"/>
      <c r="O498" s="3"/>
      <c r="P498" s="3"/>
      <c r="Q498" s="3"/>
      <c r="R498" s="3"/>
      <c r="S498" s="3"/>
    </row>
    <row r="499" spans="1:19" s="10" customFormat="1" ht="63" customHeight="1" x14ac:dyDescent="0.25">
      <c r="A499" s="398"/>
      <c r="B499" s="561"/>
      <c r="C499" s="97" t="s">
        <v>96</v>
      </c>
      <c r="D499" s="117"/>
      <c r="E499" s="72">
        <v>0</v>
      </c>
      <c r="F499" s="72">
        <v>0</v>
      </c>
      <c r="G499" s="72">
        <v>0</v>
      </c>
      <c r="H499" s="72">
        <v>0</v>
      </c>
      <c r="I499" s="72">
        <v>0</v>
      </c>
      <c r="J499" s="72">
        <v>0</v>
      </c>
      <c r="K499" s="72">
        <v>0</v>
      </c>
      <c r="L499" s="72">
        <v>0</v>
      </c>
      <c r="M499" s="72">
        <v>0</v>
      </c>
      <c r="N499" s="9"/>
      <c r="O499" s="3"/>
      <c r="P499" s="3"/>
      <c r="Q499" s="3"/>
      <c r="R499" s="3"/>
      <c r="S499" s="3"/>
    </row>
    <row r="500" spans="1:19" s="10" customFormat="1" ht="63.95" customHeight="1" x14ac:dyDescent="0.25">
      <c r="A500" s="398"/>
      <c r="B500" s="561"/>
      <c r="C500" s="97" t="s">
        <v>97</v>
      </c>
      <c r="D500" s="117"/>
      <c r="E500" s="72">
        <v>0</v>
      </c>
      <c r="F500" s="72">
        <v>0</v>
      </c>
      <c r="G500" s="72">
        <v>0</v>
      </c>
      <c r="H500" s="72">
        <v>0</v>
      </c>
      <c r="I500" s="72">
        <v>0</v>
      </c>
      <c r="J500" s="72">
        <v>0</v>
      </c>
      <c r="K500" s="72">
        <v>0</v>
      </c>
      <c r="L500" s="72">
        <v>0</v>
      </c>
      <c r="M500" s="72">
        <v>0</v>
      </c>
      <c r="N500" s="9"/>
      <c r="O500" s="3"/>
      <c r="P500" s="3"/>
      <c r="Q500" s="3"/>
      <c r="R500" s="3"/>
      <c r="S500" s="3"/>
    </row>
    <row r="501" spans="1:19" s="10" customFormat="1" ht="48" customHeight="1" x14ac:dyDescent="0.25">
      <c r="A501" s="512"/>
      <c r="B501" s="562"/>
      <c r="C501" s="97" t="s">
        <v>98</v>
      </c>
      <c r="D501" s="117"/>
      <c r="E501" s="72">
        <v>0</v>
      </c>
      <c r="F501" s="72">
        <v>0</v>
      </c>
      <c r="G501" s="72">
        <v>0</v>
      </c>
      <c r="H501" s="72">
        <v>0</v>
      </c>
      <c r="I501" s="72">
        <v>0</v>
      </c>
      <c r="J501" s="72">
        <v>0</v>
      </c>
      <c r="K501" s="72">
        <v>0</v>
      </c>
      <c r="L501" s="72">
        <v>0</v>
      </c>
      <c r="M501" s="72">
        <v>0</v>
      </c>
      <c r="N501" s="9"/>
      <c r="O501" s="3"/>
      <c r="P501" s="3"/>
      <c r="Q501" s="3"/>
      <c r="R501" s="3"/>
      <c r="S501" s="3"/>
    </row>
    <row r="502" spans="1:19" s="13" customFormat="1" ht="18.75" customHeight="1" x14ac:dyDescent="0.2">
      <c r="A502" s="432" t="s">
        <v>165</v>
      </c>
      <c r="B502" s="543" t="s">
        <v>340</v>
      </c>
      <c r="C502" s="116" t="s">
        <v>27</v>
      </c>
      <c r="D502" s="106">
        <v>771</v>
      </c>
      <c r="E502" s="92">
        <f>SUM(E503:E508)</f>
        <v>22117.4</v>
      </c>
      <c r="F502" s="92">
        <f t="shared" ref="F502:L502" si="90">SUM(F503:F508)</f>
        <v>22707.35</v>
      </c>
      <c r="G502" s="92">
        <f t="shared" si="90"/>
        <v>28518.86</v>
      </c>
      <c r="H502" s="92">
        <f t="shared" si="90"/>
        <v>27214.11</v>
      </c>
      <c r="I502" s="92">
        <f t="shared" si="90"/>
        <v>27214.11</v>
      </c>
      <c r="J502" s="92">
        <f t="shared" si="90"/>
        <v>27214.11</v>
      </c>
      <c r="K502" s="92">
        <f t="shared" si="90"/>
        <v>27214.11</v>
      </c>
      <c r="L502" s="92">
        <f t="shared" si="90"/>
        <v>27214.11</v>
      </c>
      <c r="M502" s="92">
        <f>SUM(E502:L502)</f>
        <v>209414.15999999997</v>
      </c>
      <c r="N502" s="9"/>
      <c r="O502" s="3"/>
      <c r="P502" s="3"/>
      <c r="Q502" s="3"/>
      <c r="R502" s="3"/>
      <c r="S502" s="3"/>
    </row>
    <row r="503" spans="1:19" s="13" customFormat="1" ht="30" customHeight="1" x14ac:dyDescent="0.2">
      <c r="A503" s="402"/>
      <c r="B503" s="413"/>
      <c r="C503" s="97" t="s">
        <v>93</v>
      </c>
      <c r="D503" s="106"/>
      <c r="E503" s="72">
        <v>0</v>
      </c>
      <c r="F503" s="72">
        <v>0</v>
      </c>
      <c r="G503" s="72">
        <v>0</v>
      </c>
      <c r="H503" s="72">
        <v>0</v>
      </c>
      <c r="I503" s="72">
        <v>0</v>
      </c>
      <c r="J503" s="72">
        <v>0</v>
      </c>
      <c r="K503" s="72">
        <v>0</v>
      </c>
      <c r="L503" s="72">
        <v>0</v>
      </c>
      <c r="M503" s="72">
        <v>0</v>
      </c>
      <c r="N503" s="9"/>
      <c r="O503" s="3"/>
      <c r="P503" s="3"/>
      <c r="Q503" s="3"/>
      <c r="R503" s="3"/>
      <c r="S503" s="3"/>
    </row>
    <row r="504" spans="1:19" s="13" customFormat="1" ht="18.75" customHeight="1" x14ac:dyDescent="0.2">
      <c r="A504" s="402"/>
      <c r="B504" s="413"/>
      <c r="C504" s="97" t="s">
        <v>94</v>
      </c>
      <c r="D504" s="106">
        <v>771</v>
      </c>
      <c r="E504" s="72">
        <f>'Приложение 5'!H196</f>
        <v>22117.4</v>
      </c>
      <c r="F504" s="72">
        <f>'Приложение 5'!I196</f>
        <v>22707.35</v>
      </c>
      <c r="G504" s="72">
        <f>'Приложение 5'!J196</f>
        <v>28518.86</v>
      </c>
      <c r="H504" s="72">
        <f>'Приложение 5'!K195</f>
        <v>27214.11</v>
      </c>
      <c r="I504" s="72">
        <f>'Приложение 5'!L195</f>
        <v>27214.11</v>
      </c>
      <c r="J504" s="72">
        <f>'Приложение 5'!M195</f>
        <v>27214.11</v>
      </c>
      <c r="K504" s="72">
        <f>'Приложение 5'!N195</f>
        <v>27214.11</v>
      </c>
      <c r="L504" s="72">
        <f>'Приложение 5'!O195</f>
        <v>27214.11</v>
      </c>
      <c r="M504" s="72">
        <f>'Приложение 5'!P195</f>
        <v>209414.15999999997</v>
      </c>
      <c r="N504" s="9"/>
      <c r="O504" s="3"/>
      <c r="P504" s="3"/>
      <c r="Q504" s="3"/>
      <c r="R504" s="3"/>
      <c r="S504" s="3"/>
    </row>
    <row r="505" spans="1:19" s="13" customFormat="1" ht="47.1" customHeight="1" x14ac:dyDescent="0.2">
      <c r="A505" s="402"/>
      <c r="B505" s="413"/>
      <c r="C505" s="97" t="s">
        <v>95</v>
      </c>
      <c r="D505" s="106"/>
      <c r="E505" s="72">
        <v>0</v>
      </c>
      <c r="F505" s="72">
        <v>0</v>
      </c>
      <c r="G505" s="72">
        <v>0</v>
      </c>
      <c r="H505" s="72">
        <v>0</v>
      </c>
      <c r="I505" s="72">
        <v>0</v>
      </c>
      <c r="J505" s="72">
        <v>0</v>
      </c>
      <c r="K505" s="72">
        <v>0</v>
      </c>
      <c r="L505" s="72">
        <v>0</v>
      </c>
      <c r="M505" s="72">
        <v>0</v>
      </c>
      <c r="N505" s="9"/>
      <c r="O505" s="3"/>
      <c r="P505" s="3"/>
      <c r="Q505" s="3"/>
      <c r="R505" s="3"/>
      <c r="S505" s="3"/>
    </row>
    <row r="506" spans="1:19" s="13" customFormat="1" ht="63" customHeight="1" x14ac:dyDescent="0.2">
      <c r="A506" s="402"/>
      <c r="B506" s="413"/>
      <c r="C506" s="97" t="s">
        <v>96</v>
      </c>
      <c r="D506" s="106"/>
      <c r="E506" s="72">
        <v>0</v>
      </c>
      <c r="F506" s="72">
        <v>0</v>
      </c>
      <c r="G506" s="72">
        <v>0</v>
      </c>
      <c r="H506" s="72">
        <v>0</v>
      </c>
      <c r="I506" s="72">
        <v>0</v>
      </c>
      <c r="J506" s="72">
        <v>0</v>
      </c>
      <c r="K506" s="72">
        <v>0</v>
      </c>
      <c r="L506" s="72">
        <v>0</v>
      </c>
      <c r="M506" s="72">
        <v>0</v>
      </c>
      <c r="N506" s="9"/>
      <c r="O506" s="3"/>
      <c r="P506" s="3"/>
      <c r="Q506" s="3"/>
      <c r="R506" s="3"/>
      <c r="S506" s="3"/>
    </row>
    <row r="507" spans="1:19" s="13" customFormat="1" ht="63.95" customHeight="1" x14ac:dyDescent="0.2">
      <c r="A507" s="402"/>
      <c r="B507" s="413"/>
      <c r="C507" s="97" t="s">
        <v>97</v>
      </c>
      <c r="D507" s="106"/>
      <c r="E507" s="72">
        <v>0</v>
      </c>
      <c r="F507" s="72">
        <v>0</v>
      </c>
      <c r="G507" s="72">
        <v>0</v>
      </c>
      <c r="H507" s="72">
        <v>0</v>
      </c>
      <c r="I507" s="72">
        <v>0</v>
      </c>
      <c r="J507" s="72">
        <v>0</v>
      </c>
      <c r="K507" s="72">
        <v>0</v>
      </c>
      <c r="L507" s="72">
        <v>0</v>
      </c>
      <c r="M507" s="72">
        <v>0</v>
      </c>
      <c r="N507" s="9"/>
      <c r="O507" s="3"/>
      <c r="P507" s="3"/>
      <c r="Q507" s="3"/>
      <c r="R507" s="3"/>
      <c r="S507" s="3"/>
    </row>
    <row r="508" spans="1:19" s="13" customFormat="1" ht="48" customHeight="1" x14ac:dyDescent="0.2">
      <c r="A508" s="403"/>
      <c r="B508" s="544"/>
      <c r="C508" s="97" t="s">
        <v>98</v>
      </c>
      <c r="D508" s="106"/>
      <c r="E508" s="93">
        <v>0</v>
      </c>
      <c r="F508" s="93">
        <v>0</v>
      </c>
      <c r="G508" s="93">
        <v>0</v>
      </c>
      <c r="H508" s="93">
        <v>0</v>
      </c>
      <c r="I508" s="93">
        <v>0</v>
      </c>
      <c r="J508" s="93">
        <v>0</v>
      </c>
      <c r="K508" s="93">
        <v>0</v>
      </c>
      <c r="L508" s="93">
        <v>0</v>
      </c>
      <c r="M508" s="93">
        <v>0</v>
      </c>
      <c r="N508" s="9"/>
      <c r="O508" s="3"/>
      <c r="P508" s="3"/>
      <c r="Q508" s="3"/>
      <c r="R508" s="3"/>
      <c r="S508" s="3"/>
    </row>
    <row r="509" spans="1:19" s="10" customFormat="1" ht="18.75" customHeight="1" x14ac:dyDescent="0.25">
      <c r="A509" s="432" t="s">
        <v>229</v>
      </c>
      <c r="B509" s="513" t="s">
        <v>75</v>
      </c>
      <c r="C509" s="116" t="s">
        <v>27</v>
      </c>
      <c r="D509" s="106">
        <v>771</v>
      </c>
      <c r="E509" s="92">
        <f>SUM(E510:E515)</f>
        <v>22117.4</v>
      </c>
      <c r="F509" s="92">
        <f t="shared" ref="F509:L509" si="91">SUM(F510:F515)</f>
        <v>22707.35</v>
      </c>
      <c r="G509" s="92">
        <f t="shared" si="91"/>
        <v>28518.86</v>
      </c>
      <c r="H509" s="92">
        <f t="shared" si="91"/>
        <v>27214.11</v>
      </c>
      <c r="I509" s="92">
        <f t="shared" si="91"/>
        <v>27214.11</v>
      </c>
      <c r="J509" s="92">
        <f t="shared" si="91"/>
        <v>27214.11</v>
      </c>
      <c r="K509" s="92">
        <f t="shared" si="91"/>
        <v>27214.11</v>
      </c>
      <c r="L509" s="92">
        <f t="shared" si="91"/>
        <v>27214.11</v>
      </c>
      <c r="M509" s="92">
        <f>SUM(E509:L509)</f>
        <v>209414.15999999997</v>
      </c>
      <c r="N509" s="9"/>
      <c r="O509" s="3"/>
      <c r="P509" s="3"/>
      <c r="Q509" s="3"/>
      <c r="R509" s="3"/>
      <c r="S509" s="3"/>
    </row>
    <row r="510" spans="1:19" s="10" customFormat="1" ht="30" customHeight="1" x14ac:dyDescent="0.25">
      <c r="A510" s="402"/>
      <c r="B510" s="514"/>
      <c r="C510" s="97" t="s">
        <v>93</v>
      </c>
      <c r="D510" s="106"/>
      <c r="E510" s="72">
        <v>0</v>
      </c>
      <c r="F510" s="93">
        <v>0</v>
      </c>
      <c r="G510" s="93">
        <v>0</v>
      </c>
      <c r="H510" s="93">
        <v>0</v>
      </c>
      <c r="I510" s="93">
        <v>0</v>
      </c>
      <c r="J510" s="93">
        <v>0</v>
      </c>
      <c r="K510" s="93">
        <v>0</v>
      </c>
      <c r="L510" s="93">
        <v>0</v>
      </c>
      <c r="M510" s="93">
        <v>0</v>
      </c>
      <c r="N510" s="9"/>
      <c r="O510" s="3"/>
      <c r="P510" s="3"/>
      <c r="Q510" s="3"/>
      <c r="R510" s="3"/>
      <c r="S510" s="3"/>
    </row>
    <row r="511" spans="1:19" s="10" customFormat="1" ht="18.75" customHeight="1" x14ac:dyDescent="0.25">
      <c r="A511" s="402"/>
      <c r="B511" s="514"/>
      <c r="C511" s="97" t="s">
        <v>94</v>
      </c>
      <c r="D511" s="106">
        <v>771</v>
      </c>
      <c r="E511" s="93">
        <f>'Приложение 5'!H198</f>
        <v>22117.4</v>
      </c>
      <c r="F511" s="93">
        <f>'Приложение 5'!I199</f>
        <v>22707.35</v>
      </c>
      <c r="G511" s="93">
        <f>'Приложение 5'!J199</f>
        <v>28518.86</v>
      </c>
      <c r="H511" s="93">
        <f>'Приложение 5'!K200</f>
        <v>27214.11</v>
      </c>
      <c r="I511" s="93">
        <f>'Приложение 5'!L200</f>
        <v>27214.11</v>
      </c>
      <c r="J511" s="93">
        <f>'Приложение 5'!M200</f>
        <v>27214.11</v>
      </c>
      <c r="K511" s="93">
        <f>'Приложение 5'!N200</f>
        <v>27214.11</v>
      </c>
      <c r="L511" s="93">
        <f>'Приложение 5'!O200</f>
        <v>27214.11</v>
      </c>
      <c r="M511" s="93">
        <f>'Приложение 5'!P198</f>
        <v>209414.15999999997</v>
      </c>
      <c r="N511" s="9"/>
      <c r="O511" s="3"/>
      <c r="P511" s="3"/>
      <c r="Q511" s="3"/>
      <c r="R511" s="3"/>
      <c r="S511" s="3"/>
    </row>
    <row r="512" spans="1:19" s="10" customFormat="1" ht="47.1" customHeight="1" x14ac:dyDescent="0.25">
      <c r="A512" s="402"/>
      <c r="B512" s="514"/>
      <c r="C512" s="97" t="s">
        <v>95</v>
      </c>
      <c r="D512" s="106"/>
      <c r="E512" s="94">
        <v>0</v>
      </c>
      <c r="F512" s="94">
        <v>0</v>
      </c>
      <c r="G512" s="94">
        <v>0</v>
      </c>
      <c r="H512" s="94">
        <v>0</v>
      </c>
      <c r="I512" s="94">
        <v>0</v>
      </c>
      <c r="J512" s="94">
        <v>0</v>
      </c>
      <c r="K512" s="94">
        <v>0</v>
      </c>
      <c r="L512" s="94">
        <v>0</v>
      </c>
      <c r="M512" s="94">
        <v>0</v>
      </c>
      <c r="N512" s="9"/>
      <c r="O512" s="3"/>
      <c r="P512" s="3"/>
      <c r="Q512" s="3"/>
      <c r="R512" s="3"/>
      <c r="S512" s="3"/>
    </row>
    <row r="513" spans="1:19" s="10" customFormat="1" ht="63" customHeight="1" x14ac:dyDescent="0.25">
      <c r="A513" s="402"/>
      <c r="B513" s="514"/>
      <c r="C513" s="97" t="s">
        <v>96</v>
      </c>
      <c r="D513" s="106"/>
      <c r="E513" s="94">
        <v>0</v>
      </c>
      <c r="F513" s="94">
        <v>0</v>
      </c>
      <c r="G513" s="94">
        <v>0</v>
      </c>
      <c r="H513" s="94">
        <v>0</v>
      </c>
      <c r="I513" s="94">
        <v>0</v>
      </c>
      <c r="J513" s="94">
        <v>0</v>
      </c>
      <c r="K513" s="94">
        <v>0</v>
      </c>
      <c r="L513" s="94">
        <v>0</v>
      </c>
      <c r="M513" s="94">
        <v>0</v>
      </c>
      <c r="N513" s="9"/>
      <c r="O513" s="3"/>
      <c r="P513" s="3"/>
      <c r="Q513" s="3"/>
      <c r="R513" s="3"/>
      <c r="S513" s="3"/>
    </row>
    <row r="514" spans="1:19" s="10" customFormat="1" ht="63.95" customHeight="1" x14ac:dyDescent="0.25">
      <c r="A514" s="402"/>
      <c r="B514" s="514"/>
      <c r="C514" s="97" t="s">
        <v>97</v>
      </c>
      <c r="D514" s="106"/>
      <c r="E514" s="94">
        <v>0</v>
      </c>
      <c r="F514" s="94">
        <v>0</v>
      </c>
      <c r="G514" s="94">
        <v>0</v>
      </c>
      <c r="H514" s="94">
        <v>0</v>
      </c>
      <c r="I514" s="94">
        <v>0</v>
      </c>
      <c r="J514" s="94">
        <v>0</v>
      </c>
      <c r="K514" s="94">
        <v>0</v>
      </c>
      <c r="L514" s="94">
        <v>0</v>
      </c>
      <c r="M514" s="94">
        <v>0</v>
      </c>
      <c r="N514" s="9"/>
      <c r="O514" s="3"/>
      <c r="P514" s="3"/>
      <c r="Q514" s="3"/>
      <c r="R514" s="3"/>
      <c r="S514" s="3"/>
    </row>
    <row r="515" spans="1:19" s="10" customFormat="1" ht="48" customHeight="1" x14ac:dyDescent="0.25">
      <c r="A515" s="403"/>
      <c r="B515" s="515"/>
      <c r="C515" s="97" t="s">
        <v>98</v>
      </c>
      <c r="D515" s="106"/>
      <c r="E515" s="94">
        <v>0</v>
      </c>
      <c r="F515" s="94">
        <v>0</v>
      </c>
      <c r="G515" s="94">
        <v>0</v>
      </c>
      <c r="H515" s="94">
        <v>0</v>
      </c>
      <c r="I515" s="94">
        <v>0</v>
      </c>
      <c r="J515" s="94">
        <v>0</v>
      </c>
      <c r="K515" s="94">
        <v>0</v>
      </c>
      <c r="L515" s="94">
        <v>0</v>
      </c>
      <c r="M515" s="94">
        <v>0</v>
      </c>
      <c r="N515" s="9"/>
      <c r="O515" s="3"/>
      <c r="P515" s="3"/>
      <c r="Q515" s="3"/>
      <c r="R515" s="3"/>
      <c r="S515" s="3"/>
    </row>
    <row r="516" spans="1:19" s="13" customFormat="1" ht="18.75" customHeight="1" x14ac:dyDescent="0.2">
      <c r="A516" s="432" t="s">
        <v>166</v>
      </c>
      <c r="B516" s="543" t="s">
        <v>341</v>
      </c>
      <c r="C516" s="116" t="s">
        <v>27</v>
      </c>
      <c r="D516" s="106">
        <v>771</v>
      </c>
      <c r="E516" s="92">
        <f>SUM(E517:E522)</f>
        <v>97585</v>
      </c>
      <c r="F516" s="92">
        <f t="shared" ref="F516:L516" si="92">SUM(F517:F522)</f>
        <v>84110</v>
      </c>
      <c r="G516" s="92">
        <f t="shared" si="92"/>
        <v>48371.652999999998</v>
      </c>
      <c r="H516" s="92">
        <f t="shared" si="92"/>
        <v>42448.548739999998</v>
      </c>
      <c r="I516" s="92">
        <f t="shared" si="92"/>
        <v>28865.279999999999</v>
      </c>
      <c r="J516" s="92">
        <f t="shared" si="92"/>
        <v>28865.279999999999</v>
      </c>
      <c r="K516" s="92">
        <f t="shared" si="92"/>
        <v>28865.279999999999</v>
      </c>
      <c r="L516" s="92">
        <f t="shared" si="92"/>
        <v>28865.279999999999</v>
      </c>
      <c r="M516" s="92">
        <f>SUM(E516:L516)</f>
        <v>387976.32174000004</v>
      </c>
      <c r="N516" s="9"/>
      <c r="O516" s="3"/>
      <c r="P516" s="3"/>
      <c r="Q516" s="3"/>
      <c r="R516" s="3"/>
      <c r="S516" s="3"/>
    </row>
    <row r="517" spans="1:19" s="13" customFormat="1" ht="30" customHeight="1" x14ac:dyDescent="0.2">
      <c r="A517" s="402"/>
      <c r="B517" s="413"/>
      <c r="C517" s="97" t="s">
        <v>93</v>
      </c>
      <c r="D517" s="106"/>
      <c r="E517" s="72">
        <v>0</v>
      </c>
      <c r="F517" s="72">
        <v>0</v>
      </c>
      <c r="G517" s="72">
        <v>0</v>
      </c>
      <c r="H517" s="72">
        <v>0</v>
      </c>
      <c r="I517" s="72">
        <v>0</v>
      </c>
      <c r="J517" s="72">
        <v>0</v>
      </c>
      <c r="K517" s="72">
        <v>0</v>
      </c>
      <c r="L517" s="72">
        <v>0</v>
      </c>
      <c r="M517" s="93">
        <v>0</v>
      </c>
      <c r="N517" s="9"/>
      <c r="O517" s="3"/>
      <c r="P517" s="3"/>
      <c r="Q517" s="3"/>
      <c r="R517" s="3"/>
      <c r="S517" s="3"/>
    </row>
    <row r="518" spans="1:19" s="13" customFormat="1" ht="18.75" customHeight="1" x14ac:dyDescent="0.2">
      <c r="A518" s="402"/>
      <c r="B518" s="413"/>
      <c r="C518" s="97" t="s">
        <v>94</v>
      </c>
      <c r="D518" s="106">
        <v>771</v>
      </c>
      <c r="E518" s="93">
        <f>'Приложение 5'!H202</f>
        <v>97585</v>
      </c>
      <c r="F518" s="93">
        <f>'Приложение 5'!I202</f>
        <v>84110</v>
      </c>
      <c r="G518" s="93">
        <f>'Приложение 5'!J202</f>
        <v>48371.652999999998</v>
      </c>
      <c r="H518" s="93">
        <f>'Приложение 5'!K201</f>
        <v>42448.548739999998</v>
      </c>
      <c r="I518" s="93">
        <f>'Приложение 5'!L201</f>
        <v>28865.279999999999</v>
      </c>
      <c r="J518" s="93">
        <f>'Приложение 5'!M201</f>
        <v>28865.279999999999</v>
      </c>
      <c r="K518" s="93">
        <f>'Приложение 5'!N201</f>
        <v>28865.279999999999</v>
      </c>
      <c r="L518" s="93">
        <f>'Приложение 5'!O201</f>
        <v>28865.279999999999</v>
      </c>
      <c r="M518" s="93">
        <f>'Приложение 5'!P201</f>
        <v>387976.32174000004</v>
      </c>
      <c r="N518" s="9"/>
      <c r="O518" s="3"/>
      <c r="P518" s="3"/>
      <c r="Q518" s="3"/>
      <c r="R518" s="3"/>
      <c r="S518" s="3"/>
    </row>
    <row r="519" spans="1:19" s="13" customFormat="1" ht="47.1" customHeight="1" x14ac:dyDescent="0.2">
      <c r="A519" s="402"/>
      <c r="B519" s="413"/>
      <c r="C519" s="97" t="s">
        <v>95</v>
      </c>
      <c r="D519" s="106"/>
      <c r="E519" s="93">
        <v>0</v>
      </c>
      <c r="F519" s="93">
        <v>0</v>
      </c>
      <c r="G519" s="93">
        <v>0</v>
      </c>
      <c r="H519" s="93">
        <v>0</v>
      </c>
      <c r="I519" s="93">
        <v>0</v>
      </c>
      <c r="J519" s="93">
        <v>0</v>
      </c>
      <c r="K519" s="93">
        <v>0</v>
      </c>
      <c r="L519" s="93">
        <v>0</v>
      </c>
      <c r="M519" s="93">
        <v>0</v>
      </c>
      <c r="N519" s="9"/>
      <c r="O519" s="3"/>
      <c r="P519" s="3"/>
      <c r="Q519" s="3"/>
      <c r="R519" s="3"/>
      <c r="S519" s="3"/>
    </row>
    <row r="520" spans="1:19" s="13" customFormat="1" ht="63" customHeight="1" x14ac:dyDescent="0.2">
      <c r="A520" s="402"/>
      <c r="B520" s="413"/>
      <c r="C520" s="97" t="s">
        <v>96</v>
      </c>
      <c r="D520" s="106"/>
      <c r="E520" s="93">
        <v>0</v>
      </c>
      <c r="F520" s="93">
        <v>0</v>
      </c>
      <c r="G520" s="93">
        <v>0</v>
      </c>
      <c r="H520" s="93">
        <v>0</v>
      </c>
      <c r="I520" s="93">
        <v>0</v>
      </c>
      <c r="J520" s="93">
        <v>0</v>
      </c>
      <c r="K520" s="93">
        <v>0</v>
      </c>
      <c r="L520" s="93">
        <v>0</v>
      </c>
      <c r="M520" s="93">
        <v>0</v>
      </c>
      <c r="N520" s="9"/>
      <c r="O520" s="3"/>
      <c r="P520" s="3"/>
      <c r="Q520" s="3"/>
      <c r="R520" s="3"/>
      <c r="S520" s="3"/>
    </row>
    <row r="521" spans="1:19" s="13" customFormat="1" ht="63.95" customHeight="1" x14ac:dyDescent="0.2">
      <c r="A521" s="402"/>
      <c r="B521" s="413"/>
      <c r="C521" s="97" t="s">
        <v>97</v>
      </c>
      <c r="D521" s="106"/>
      <c r="E521" s="93">
        <v>0</v>
      </c>
      <c r="F521" s="93">
        <v>0</v>
      </c>
      <c r="G521" s="93">
        <v>0</v>
      </c>
      <c r="H521" s="93">
        <v>0</v>
      </c>
      <c r="I521" s="93">
        <v>0</v>
      </c>
      <c r="J521" s="93">
        <v>0</v>
      </c>
      <c r="K521" s="93">
        <v>0</v>
      </c>
      <c r="L521" s="93">
        <v>0</v>
      </c>
      <c r="M521" s="93">
        <v>0</v>
      </c>
      <c r="N521" s="9"/>
      <c r="O521" s="3"/>
      <c r="P521" s="3"/>
      <c r="Q521" s="3"/>
      <c r="R521" s="3"/>
      <c r="S521" s="3"/>
    </row>
    <row r="522" spans="1:19" s="13" customFormat="1" ht="48" customHeight="1" x14ac:dyDescent="0.2">
      <c r="A522" s="403"/>
      <c r="B522" s="544"/>
      <c r="C522" s="97" t="s">
        <v>98</v>
      </c>
      <c r="D522" s="106"/>
      <c r="E522" s="93">
        <v>0</v>
      </c>
      <c r="F522" s="93">
        <v>0</v>
      </c>
      <c r="G522" s="93">
        <v>0</v>
      </c>
      <c r="H522" s="93">
        <v>0</v>
      </c>
      <c r="I522" s="93">
        <v>0</v>
      </c>
      <c r="J522" s="93">
        <v>0</v>
      </c>
      <c r="K522" s="93">
        <v>0</v>
      </c>
      <c r="L522" s="93">
        <v>0</v>
      </c>
      <c r="M522" s="93">
        <v>0</v>
      </c>
      <c r="N522" s="9"/>
      <c r="O522" s="3"/>
      <c r="P522" s="3"/>
      <c r="Q522" s="3"/>
      <c r="R522" s="3"/>
      <c r="S522" s="3"/>
    </row>
    <row r="523" spans="1:19" s="10" customFormat="1" ht="18.75" customHeight="1" x14ac:dyDescent="0.25">
      <c r="A523" s="432" t="s">
        <v>230</v>
      </c>
      <c r="B523" s="493" t="s">
        <v>277</v>
      </c>
      <c r="C523" s="116" t="s">
        <v>27</v>
      </c>
      <c r="D523" s="117">
        <v>771</v>
      </c>
      <c r="E523" s="92">
        <f>SUM(E524:E529)</f>
        <v>69685</v>
      </c>
      <c r="F523" s="92">
        <f t="shared" ref="F523:L523" si="93">SUM(F524:F529)</f>
        <v>63610</v>
      </c>
      <c r="G523" s="92">
        <f t="shared" si="93"/>
        <v>30373.652999999998</v>
      </c>
      <c r="H523" s="92">
        <f t="shared" si="93"/>
        <v>23330.295059999997</v>
      </c>
      <c r="I523" s="92">
        <f t="shared" si="93"/>
        <v>28865.279999999999</v>
      </c>
      <c r="J523" s="92">
        <f t="shared" si="93"/>
        <v>28865.279999999999</v>
      </c>
      <c r="K523" s="92">
        <f t="shared" si="93"/>
        <v>28865.279999999999</v>
      </c>
      <c r="L523" s="92">
        <f t="shared" si="93"/>
        <v>28865.279999999999</v>
      </c>
      <c r="M523" s="92">
        <f>SUM(E523:L523)</f>
        <v>302460.06805999996</v>
      </c>
      <c r="N523" s="9"/>
      <c r="O523" s="3"/>
      <c r="P523" s="3"/>
      <c r="Q523" s="3"/>
      <c r="R523" s="3"/>
      <c r="S523" s="3"/>
    </row>
    <row r="524" spans="1:19" s="10" customFormat="1" ht="30" customHeight="1" x14ac:dyDescent="0.25">
      <c r="A524" s="402"/>
      <c r="B524" s="393"/>
      <c r="C524" s="97" t="s">
        <v>93</v>
      </c>
      <c r="D524" s="106"/>
      <c r="E524" s="72">
        <v>0</v>
      </c>
      <c r="F524" s="72">
        <v>0</v>
      </c>
      <c r="G524" s="72">
        <v>0</v>
      </c>
      <c r="H524" s="72">
        <v>0</v>
      </c>
      <c r="I524" s="72">
        <v>0</v>
      </c>
      <c r="J524" s="72">
        <v>0</v>
      </c>
      <c r="K524" s="72">
        <v>0</v>
      </c>
      <c r="L524" s="72">
        <v>0</v>
      </c>
      <c r="M524" s="93">
        <f>SUM(E524:L524)</f>
        <v>0</v>
      </c>
      <c r="N524" s="9"/>
      <c r="O524" s="3"/>
      <c r="P524" s="3"/>
      <c r="Q524" s="3"/>
      <c r="R524" s="3"/>
      <c r="S524" s="3"/>
    </row>
    <row r="525" spans="1:19" s="10" customFormat="1" ht="18.75" customHeight="1" x14ac:dyDescent="0.25">
      <c r="A525" s="402"/>
      <c r="B525" s="393"/>
      <c r="C525" s="97" t="s">
        <v>94</v>
      </c>
      <c r="D525" s="106">
        <v>771</v>
      </c>
      <c r="E525" s="93">
        <f>'Приложение 5'!H204</f>
        <v>69685</v>
      </c>
      <c r="F525" s="93">
        <f>'Приложение 5'!I204</f>
        <v>63610</v>
      </c>
      <c r="G525" s="93">
        <f>'Приложение 5'!J204</f>
        <v>30373.652999999998</v>
      </c>
      <c r="H525" s="93">
        <f>'Приложение 5'!K204</f>
        <v>23330.295059999997</v>
      </c>
      <c r="I525" s="93">
        <f>'Приложение 5'!L204</f>
        <v>28865.279999999999</v>
      </c>
      <c r="J525" s="93">
        <f>'Приложение 5'!M204</f>
        <v>28865.279999999999</v>
      </c>
      <c r="K525" s="93">
        <f>'Приложение 5'!N204</f>
        <v>28865.279999999999</v>
      </c>
      <c r="L525" s="93">
        <f>'Приложение 5'!O204</f>
        <v>28865.279999999999</v>
      </c>
      <c r="M525" s="93">
        <f>'Приложение 5'!P204</f>
        <v>302460.06805999996</v>
      </c>
      <c r="N525" s="9"/>
      <c r="O525" s="3"/>
      <c r="P525" s="3"/>
      <c r="Q525" s="3"/>
      <c r="R525" s="3"/>
      <c r="S525" s="3"/>
    </row>
    <row r="526" spans="1:19" s="10" customFormat="1" ht="47.1" customHeight="1" x14ac:dyDescent="0.25">
      <c r="A526" s="402"/>
      <c r="B526" s="393"/>
      <c r="C526" s="97" t="s">
        <v>95</v>
      </c>
      <c r="D526" s="106"/>
      <c r="E526" s="72">
        <v>0</v>
      </c>
      <c r="F526" s="72">
        <v>0</v>
      </c>
      <c r="G526" s="72">
        <v>0</v>
      </c>
      <c r="H526" s="72">
        <v>0</v>
      </c>
      <c r="I526" s="72">
        <v>0</v>
      </c>
      <c r="J526" s="72">
        <v>0</v>
      </c>
      <c r="K526" s="72">
        <v>0</v>
      </c>
      <c r="L526" s="72">
        <v>0</v>
      </c>
      <c r="M526" s="72">
        <v>0</v>
      </c>
      <c r="N526" s="9"/>
      <c r="O526" s="3"/>
      <c r="P526" s="3"/>
      <c r="Q526" s="3"/>
      <c r="R526" s="3"/>
      <c r="S526" s="3"/>
    </row>
    <row r="527" spans="1:19" s="10" customFormat="1" ht="63" customHeight="1" x14ac:dyDescent="0.25">
      <c r="A527" s="402"/>
      <c r="B527" s="393"/>
      <c r="C527" s="97" t="s">
        <v>96</v>
      </c>
      <c r="D527" s="106"/>
      <c r="E527" s="72">
        <v>0</v>
      </c>
      <c r="F527" s="72">
        <v>0</v>
      </c>
      <c r="G527" s="72">
        <v>0</v>
      </c>
      <c r="H527" s="72">
        <v>0</v>
      </c>
      <c r="I527" s="72">
        <v>0</v>
      </c>
      <c r="J527" s="72">
        <v>0</v>
      </c>
      <c r="K527" s="72">
        <v>0</v>
      </c>
      <c r="L527" s="72">
        <v>0</v>
      </c>
      <c r="M527" s="72">
        <v>0</v>
      </c>
      <c r="N527" s="9"/>
      <c r="O527" s="3"/>
      <c r="P527" s="3"/>
      <c r="Q527" s="3"/>
      <c r="R527" s="3"/>
      <c r="S527" s="3"/>
    </row>
    <row r="528" spans="1:19" s="10" customFormat="1" ht="63.95" customHeight="1" x14ac:dyDescent="0.25">
      <c r="A528" s="402"/>
      <c r="B528" s="393"/>
      <c r="C528" s="97" t="s">
        <v>97</v>
      </c>
      <c r="D528" s="106"/>
      <c r="E528" s="72">
        <v>0</v>
      </c>
      <c r="F528" s="72">
        <v>0</v>
      </c>
      <c r="G528" s="72">
        <v>0</v>
      </c>
      <c r="H528" s="72">
        <v>0</v>
      </c>
      <c r="I528" s="72">
        <v>0</v>
      </c>
      <c r="J528" s="72">
        <v>0</v>
      </c>
      <c r="K528" s="72">
        <v>0</v>
      </c>
      <c r="L528" s="72">
        <v>0</v>
      </c>
      <c r="M528" s="72">
        <v>0</v>
      </c>
      <c r="N528" s="9"/>
      <c r="O528" s="3"/>
      <c r="P528" s="3"/>
      <c r="Q528" s="3"/>
      <c r="R528" s="3"/>
      <c r="S528" s="3"/>
    </row>
    <row r="529" spans="1:19" s="10" customFormat="1" ht="48" customHeight="1" x14ac:dyDescent="0.25">
      <c r="A529" s="403"/>
      <c r="B529" s="506"/>
      <c r="C529" s="97" t="s">
        <v>98</v>
      </c>
      <c r="D529" s="106"/>
      <c r="E529" s="93">
        <v>0</v>
      </c>
      <c r="F529" s="93">
        <v>0</v>
      </c>
      <c r="G529" s="93">
        <v>0</v>
      </c>
      <c r="H529" s="93">
        <v>0</v>
      </c>
      <c r="I529" s="93">
        <v>0</v>
      </c>
      <c r="J529" s="93">
        <v>0</v>
      </c>
      <c r="K529" s="93">
        <v>0</v>
      </c>
      <c r="L529" s="93">
        <v>0</v>
      </c>
      <c r="M529" s="93">
        <v>0</v>
      </c>
      <c r="N529" s="9"/>
      <c r="O529" s="3"/>
      <c r="P529" s="3"/>
      <c r="Q529" s="3"/>
      <c r="R529" s="3"/>
      <c r="S529" s="3"/>
    </row>
    <row r="530" spans="1:19" s="46" customFormat="1" ht="18.75" customHeight="1" x14ac:dyDescent="0.25">
      <c r="A530" s="432" t="s">
        <v>231</v>
      </c>
      <c r="B530" s="513" t="s">
        <v>278</v>
      </c>
      <c r="C530" s="116" t="s">
        <v>27</v>
      </c>
      <c r="D530" s="106">
        <v>771</v>
      </c>
      <c r="E530" s="92">
        <f>SUM(E531:E536)</f>
        <v>55544.43</v>
      </c>
      <c r="F530" s="92">
        <f t="shared" ref="F530:L530" si="94">SUM(F531:F536)</f>
        <v>46610</v>
      </c>
      <c r="G530" s="92">
        <f t="shared" si="94"/>
        <v>21569.719000000001</v>
      </c>
      <c r="H530" s="92">
        <f t="shared" si="94"/>
        <v>11631.087079999999</v>
      </c>
      <c r="I530" s="92">
        <f t="shared" si="94"/>
        <v>19061.28</v>
      </c>
      <c r="J530" s="92">
        <f t="shared" si="94"/>
        <v>19061.28</v>
      </c>
      <c r="K530" s="92">
        <f t="shared" si="94"/>
        <v>19061.28</v>
      </c>
      <c r="L530" s="92">
        <f t="shared" si="94"/>
        <v>19061.28</v>
      </c>
      <c r="M530" s="63">
        <f>SUM(E530:L530)</f>
        <v>211600.35608</v>
      </c>
      <c r="N530" s="9"/>
      <c r="O530" s="9"/>
      <c r="P530" s="9"/>
      <c r="Q530" s="9"/>
      <c r="R530" s="9"/>
      <c r="S530" s="9"/>
    </row>
    <row r="531" spans="1:19" s="46" customFormat="1" ht="30" customHeight="1" x14ac:dyDescent="0.25">
      <c r="A531" s="402"/>
      <c r="B531" s="514"/>
      <c r="C531" s="97" t="s">
        <v>93</v>
      </c>
      <c r="D531" s="106"/>
      <c r="E531" s="72">
        <v>0</v>
      </c>
      <c r="F531" s="65">
        <v>0</v>
      </c>
      <c r="G531" s="65">
        <v>0</v>
      </c>
      <c r="H531" s="65">
        <v>0</v>
      </c>
      <c r="I531" s="65">
        <v>0</v>
      </c>
      <c r="J531" s="65">
        <v>0</v>
      </c>
      <c r="K531" s="65">
        <v>0</v>
      </c>
      <c r="L531" s="65">
        <v>0</v>
      </c>
      <c r="M531" s="65">
        <v>0</v>
      </c>
      <c r="N531" s="9"/>
      <c r="O531" s="9"/>
      <c r="P531" s="9"/>
      <c r="Q531" s="9"/>
      <c r="R531" s="9"/>
      <c r="S531" s="9"/>
    </row>
    <row r="532" spans="1:19" s="46" customFormat="1" ht="18.75" customHeight="1" x14ac:dyDescent="0.25">
      <c r="A532" s="402"/>
      <c r="B532" s="514"/>
      <c r="C532" s="97" t="s">
        <v>94</v>
      </c>
      <c r="D532" s="106">
        <v>771</v>
      </c>
      <c r="E532" s="93">
        <f>'Приложение 5'!H205</f>
        <v>55544.43</v>
      </c>
      <c r="F532" s="93">
        <f>'Приложение 5'!I206</f>
        <v>46610</v>
      </c>
      <c r="G532" s="93">
        <f>'Приложение 5'!J206</f>
        <v>21569.719000000001</v>
      </c>
      <c r="H532" s="93">
        <f>'Приложение 5'!K207</f>
        <v>11631.087079999999</v>
      </c>
      <c r="I532" s="93">
        <f>'Приложение 5'!L207</f>
        <v>19061.28</v>
      </c>
      <c r="J532" s="93">
        <f>'Приложение 5'!M207</f>
        <v>19061.28</v>
      </c>
      <c r="K532" s="93">
        <f>'Приложение 5'!N207</f>
        <v>19061.28</v>
      </c>
      <c r="L532" s="93">
        <f>'Приложение 5'!O207</f>
        <v>19061.28</v>
      </c>
      <c r="M532" s="93">
        <f>'Приложение 5'!P205</f>
        <v>211600.35608</v>
      </c>
      <c r="N532" s="9"/>
      <c r="O532" s="9"/>
      <c r="P532" s="9"/>
      <c r="Q532" s="9"/>
      <c r="R532" s="9"/>
      <c r="S532" s="9"/>
    </row>
    <row r="533" spans="1:19" s="46" customFormat="1" ht="47.1" customHeight="1" x14ac:dyDescent="0.25">
      <c r="A533" s="402"/>
      <c r="B533" s="514"/>
      <c r="C533" s="97" t="s">
        <v>95</v>
      </c>
      <c r="D533" s="106"/>
      <c r="E533" s="65">
        <v>0</v>
      </c>
      <c r="F533" s="65">
        <v>0</v>
      </c>
      <c r="G533" s="65">
        <v>0</v>
      </c>
      <c r="H533" s="65">
        <v>0</v>
      </c>
      <c r="I533" s="65">
        <v>0</v>
      </c>
      <c r="J533" s="65">
        <v>0</v>
      </c>
      <c r="K533" s="65">
        <v>0</v>
      </c>
      <c r="L533" s="65">
        <v>0</v>
      </c>
      <c r="M533" s="65">
        <v>0</v>
      </c>
      <c r="N533" s="9"/>
      <c r="O533" s="9"/>
      <c r="P533" s="9"/>
      <c r="Q533" s="9"/>
      <c r="R533" s="9"/>
      <c r="S533" s="9"/>
    </row>
    <row r="534" spans="1:19" s="46" customFormat="1" ht="63" customHeight="1" x14ac:dyDescent="0.25">
      <c r="A534" s="402"/>
      <c r="B534" s="514"/>
      <c r="C534" s="97" t="s">
        <v>96</v>
      </c>
      <c r="D534" s="106"/>
      <c r="E534" s="65">
        <v>0</v>
      </c>
      <c r="F534" s="65">
        <v>0</v>
      </c>
      <c r="G534" s="65">
        <v>0</v>
      </c>
      <c r="H534" s="65">
        <v>0</v>
      </c>
      <c r="I534" s="65">
        <v>0</v>
      </c>
      <c r="J534" s="65">
        <v>0</v>
      </c>
      <c r="K534" s="65">
        <v>0</v>
      </c>
      <c r="L534" s="65">
        <v>0</v>
      </c>
      <c r="M534" s="65">
        <v>0</v>
      </c>
      <c r="N534" s="9"/>
      <c r="O534" s="9"/>
      <c r="P534" s="9"/>
      <c r="Q534" s="9"/>
      <c r="R534" s="9"/>
      <c r="S534" s="9"/>
    </row>
    <row r="535" spans="1:19" s="46" customFormat="1" ht="63.95" customHeight="1" x14ac:dyDescent="0.25">
      <c r="A535" s="402"/>
      <c r="B535" s="514"/>
      <c r="C535" s="97" t="s">
        <v>97</v>
      </c>
      <c r="D535" s="106"/>
      <c r="E535" s="65">
        <v>0</v>
      </c>
      <c r="F535" s="65">
        <v>0</v>
      </c>
      <c r="G535" s="65">
        <v>0</v>
      </c>
      <c r="H535" s="65">
        <v>0</v>
      </c>
      <c r="I535" s="65">
        <v>0</v>
      </c>
      <c r="J535" s="65">
        <v>0</v>
      </c>
      <c r="K535" s="65">
        <v>0</v>
      </c>
      <c r="L535" s="65">
        <v>0</v>
      </c>
      <c r="M535" s="65">
        <v>0</v>
      </c>
      <c r="N535" s="9"/>
      <c r="O535" s="9"/>
      <c r="P535" s="9"/>
      <c r="Q535" s="9"/>
      <c r="R535" s="9"/>
      <c r="S535" s="9"/>
    </row>
    <row r="536" spans="1:19" s="46" customFormat="1" ht="48" customHeight="1" x14ac:dyDescent="0.25">
      <c r="A536" s="403"/>
      <c r="B536" s="515"/>
      <c r="C536" s="97" t="s">
        <v>98</v>
      </c>
      <c r="D536" s="106"/>
      <c r="E536" s="65">
        <v>0</v>
      </c>
      <c r="F536" s="65">
        <v>0</v>
      </c>
      <c r="G536" s="65">
        <v>0</v>
      </c>
      <c r="H536" s="65">
        <v>0</v>
      </c>
      <c r="I536" s="65">
        <v>0</v>
      </c>
      <c r="J536" s="65">
        <v>0</v>
      </c>
      <c r="K536" s="65">
        <v>0</v>
      </c>
      <c r="L536" s="65">
        <v>0</v>
      </c>
      <c r="M536" s="65">
        <v>0</v>
      </c>
      <c r="N536" s="9"/>
      <c r="O536" s="9"/>
      <c r="P536" s="9"/>
      <c r="Q536" s="9"/>
      <c r="R536" s="9"/>
      <c r="S536" s="9"/>
    </row>
    <row r="537" spans="1:19" s="46" customFormat="1" ht="18.75" customHeight="1" x14ac:dyDescent="0.25">
      <c r="A537" s="511" t="s">
        <v>232</v>
      </c>
      <c r="B537" s="493" t="s">
        <v>279</v>
      </c>
      <c r="C537" s="116" t="s">
        <v>27</v>
      </c>
      <c r="D537" s="106">
        <v>771</v>
      </c>
      <c r="E537" s="92">
        <f>SUM(E538:E543)</f>
        <v>14140.57</v>
      </c>
      <c r="F537" s="92">
        <f t="shared" ref="F537:L537" si="95">SUM(F538:F543)</f>
        <v>17000</v>
      </c>
      <c r="G537" s="92">
        <f t="shared" si="95"/>
        <v>8803.9339999999993</v>
      </c>
      <c r="H537" s="92">
        <f t="shared" si="95"/>
        <v>11699.207979999999</v>
      </c>
      <c r="I537" s="92">
        <f t="shared" si="95"/>
        <v>9804</v>
      </c>
      <c r="J537" s="92">
        <f t="shared" si="95"/>
        <v>9804</v>
      </c>
      <c r="K537" s="92">
        <f t="shared" si="95"/>
        <v>9804</v>
      </c>
      <c r="L537" s="92">
        <f t="shared" si="95"/>
        <v>9804</v>
      </c>
      <c r="M537" s="63">
        <f>SUM(E537:L537)</f>
        <v>90859.711979999993</v>
      </c>
      <c r="N537" s="9"/>
      <c r="O537" s="9"/>
      <c r="P537" s="9"/>
      <c r="Q537" s="9"/>
      <c r="R537" s="9"/>
      <c r="S537" s="9"/>
    </row>
    <row r="538" spans="1:19" s="46" customFormat="1" ht="30" customHeight="1" x14ac:dyDescent="0.25">
      <c r="A538" s="398"/>
      <c r="B538" s="393"/>
      <c r="C538" s="97" t="s">
        <v>93</v>
      </c>
      <c r="D538" s="106"/>
      <c r="E538" s="72">
        <v>0</v>
      </c>
      <c r="F538" s="65">
        <v>0</v>
      </c>
      <c r="G538" s="65">
        <v>0</v>
      </c>
      <c r="H538" s="65">
        <v>0</v>
      </c>
      <c r="I538" s="65">
        <v>0</v>
      </c>
      <c r="J538" s="65">
        <v>0</v>
      </c>
      <c r="K538" s="65">
        <v>0</v>
      </c>
      <c r="L538" s="65">
        <v>0</v>
      </c>
      <c r="M538" s="65">
        <v>0</v>
      </c>
      <c r="N538" s="9"/>
      <c r="O538" s="9"/>
      <c r="P538" s="9"/>
      <c r="Q538" s="9"/>
      <c r="R538" s="9"/>
      <c r="S538" s="9"/>
    </row>
    <row r="539" spans="1:19" s="46" customFormat="1" ht="18.75" customHeight="1" x14ac:dyDescent="0.25">
      <c r="A539" s="398"/>
      <c r="B539" s="393"/>
      <c r="C539" s="97" t="s">
        <v>94</v>
      </c>
      <c r="D539" s="106">
        <v>771</v>
      </c>
      <c r="E539" s="93">
        <f>'Приложение 5'!H208</f>
        <v>14140.57</v>
      </c>
      <c r="F539" s="93">
        <f>'Приложение 5'!I209</f>
        <v>17000</v>
      </c>
      <c r="G539" s="93">
        <f>'Приложение 5'!J209</f>
        <v>8803.9339999999993</v>
      </c>
      <c r="H539" s="93">
        <f>'Приложение 5'!K210</f>
        <v>11699.207979999999</v>
      </c>
      <c r="I539" s="93">
        <f>'Приложение 5'!L210</f>
        <v>9804</v>
      </c>
      <c r="J539" s="93">
        <f>'Приложение 5'!M210</f>
        <v>9804</v>
      </c>
      <c r="K539" s="93">
        <f>'Приложение 5'!N210</f>
        <v>9804</v>
      </c>
      <c r="L539" s="93">
        <f>'Приложение 5'!O210</f>
        <v>9804</v>
      </c>
      <c r="M539" s="93">
        <f>'Приложение 5'!P208</f>
        <v>90859.711979999993</v>
      </c>
      <c r="N539" s="9"/>
      <c r="O539" s="9"/>
      <c r="P539" s="9"/>
      <c r="Q539" s="9"/>
      <c r="R539" s="9"/>
      <c r="S539" s="9"/>
    </row>
    <row r="540" spans="1:19" s="46" customFormat="1" ht="47.1" customHeight="1" x14ac:dyDescent="0.25">
      <c r="A540" s="398"/>
      <c r="B540" s="393"/>
      <c r="C540" s="97" t="s">
        <v>95</v>
      </c>
      <c r="D540" s="106"/>
      <c r="E540" s="65">
        <v>0</v>
      </c>
      <c r="F540" s="65">
        <v>0</v>
      </c>
      <c r="G540" s="65">
        <v>0</v>
      </c>
      <c r="H540" s="65">
        <v>0</v>
      </c>
      <c r="I540" s="65">
        <v>0</v>
      </c>
      <c r="J540" s="65">
        <v>0</v>
      </c>
      <c r="K540" s="65">
        <v>0</v>
      </c>
      <c r="L540" s="65">
        <v>0</v>
      </c>
      <c r="M540" s="65">
        <v>0</v>
      </c>
      <c r="N540" s="9"/>
      <c r="O540" s="9"/>
      <c r="P540" s="9"/>
      <c r="Q540" s="9"/>
      <c r="R540" s="9"/>
      <c r="S540" s="9"/>
    </row>
    <row r="541" spans="1:19" s="46" customFormat="1" ht="63" customHeight="1" x14ac:dyDescent="0.25">
      <c r="A541" s="398"/>
      <c r="B541" s="393"/>
      <c r="C541" s="97" t="s">
        <v>96</v>
      </c>
      <c r="D541" s="106"/>
      <c r="E541" s="65">
        <v>0</v>
      </c>
      <c r="F541" s="65">
        <v>0</v>
      </c>
      <c r="G541" s="65">
        <v>0</v>
      </c>
      <c r="H541" s="65">
        <v>0</v>
      </c>
      <c r="I541" s="65">
        <v>0</v>
      </c>
      <c r="J541" s="65">
        <v>0</v>
      </c>
      <c r="K541" s="65">
        <v>0</v>
      </c>
      <c r="L541" s="65">
        <v>0</v>
      </c>
      <c r="M541" s="65">
        <v>0</v>
      </c>
      <c r="N541" s="9"/>
      <c r="O541" s="9"/>
      <c r="P541" s="9"/>
      <c r="Q541" s="9"/>
      <c r="R541" s="9"/>
      <c r="S541" s="9"/>
    </row>
    <row r="542" spans="1:19" s="46" customFormat="1" ht="63.95" customHeight="1" x14ac:dyDescent="0.25">
      <c r="A542" s="398"/>
      <c r="B542" s="393"/>
      <c r="C542" s="97" t="s">
        <v>97</v>
      </c>
      <c r="D542" s="106"/>
      <c r="E542" s="65">
        <v>0</v>
      </c>
      <c r="F542" s="65">
        <v>0</v>
      </c>
      <c r="G542" s="65">
        <v>0</v>
      </c>
      <c r="H542" s="65">
        <v>0</v>
      </c>
      <c r="I542" s="65">
        <v>0</v>
      </c>
      <c r="J542" s="65">
        <v>0</v>
      </c>
      <c r="K542" s="65">
        <v>0</v>
      </c>
      <c r="L542" s="65">
        <v>0</v>
      </c>
      <c r="M542" s="65">
        <v>0</v>
      </c>
      <c r="N542" s="9"/>
      <c r="O542" s="9"/>
      <c r="P542" s="9"/>
      <c r="Q542" s="9"/>
      <c r="R542" s="9"/>
      <c r="S542" s="9"/>
    </row>
    <row r="543" spans="1:19" s="46" customFormat="1" ht="48" customHeight="1" x14ac:dyDescent="0.25">
      <c r="A543" s="512"/>
      <c r="B543" s="506"/>
      <c r="C543" s="97" t="s">
        <v>98</v>
      </c>
      <c r="D543" s="106"/>
      <c r="E543" s="65">
        <v>0</v>
      </c>
      <c r="F543" s="65">
        <v>0</v>
      </c>
      <c r="G543" s="65">
        <v>0</v>
      </c>
      <c r="H543" s="65">
        <v>0</v>
      </c>
      <c r="I543" s="65">
        <v>0</v>
      </c>
      <c r="J543" s="65">
        <v>0</v>
      </c>
      <c r="K543" s="65">
        <v>0</v>
      </c>
      <c r="L543" s="65">
        <v>0</v>
      </c>
      <c r="M543" s="65">
        <v>0</v>
      </c>
      <c r="N543" s="9"/>
      <c r="O543" s="9"/>
      <c r="P543" s="9"/>
      <c r="Q543" s="9"/>
      <c r="R543" s="9"/>
      <c r="S543" s="9"/>
    </row>
    <row r="544" spans="1:19" s="10" customFormat="1" ht="18.75" customHeight="1" x14ac:dyDescent="0.25">
      <c r="A544" s="511" t="s">
        <v>249</v>
      </c>
      <c r="B544" s="513" t="s">
        <v>88</v>
      </c>
      <c r="C544" s="116" t="s">
        <v>27</v>
      </c>
      <c r="D544" s="106">
        <v>771</v>
      </c>
      <c r="E544" s="92">
        <f>SUM(E545:E550)</f>
        <v>20000</v>
      </c>
      <c r="F544" s="92">
        <f t="shared" ref="F544:L544" si="96">SUM(F545:F550)</f>
        <v>20000</v>
      </c>
      <c r="G544" s="92">
        <f t="shared" si="96"/>
        <v>17998</v>
      </c>
      <c r="H544" s="92">
        <f t="shared" si="96"/>
        <v>19118.253680000002</v>
      </c>
      <c r="I544" s="92">
        <f t="shared" si="96"/>
        <v>0</v>
      </c>
      <c r="J544" s="92">
        <f t="shared" si="96"/>
        <v>0</v>
      </c>
      <c r="K544" s="92">
        <f t="shared" si="96"/>
        <v>0</v>
      </c>
      <c r="L544" s="92">
        <f t="shared" si="96"/>
        <v>0</v>
      </c>
      <c r="M544" s="92">
        <f>SUM(E544:L544)</f>
        <v>77116.253679999994</v>
      </c>
      <c r="N544" s="9"/>
      <c r="O544" s="3"/>
      <c r="P544" s="3"/>
      <c r="Q544" s="3"/>
      <c r="R544" s="3"/>
      <c r="S544" s="3"/>
    </row>
    <row r="545" spans="1:19" s="10" customFormat="1" ht="30" customHeight="1" x14ac:dyDescent="0.25">
      <c r="A545" s="398"/>
      <c r="B545" s="514"/>
      <c r="C545" s="97" t="s">
        <v>93</v>
      </c>
      <c r="D545" s="106"/>
      <c r="E545" s="72">
        <v>0</v>
      </c>
      <c r="F545" s="93">
        <v>0</v>
      </c>
      <c r="G545" s="93">
        <v>0</v>
      </c>
      <c r="H545" s="93">
        <v>0</v>
      </c>
      <c r="I545" s="93">
        <v>0</v>
      </c>
      <c r="J545" s="93">
        <v>0</v>
      </c>
      <c r="K545" s="93">
        <v>0</v>
      </c>
      <c r="L545" s="93">
        <v>0</v>
      </c>
      <c r="M545" s="93">
        <v>0</v>
      </c>
      <c r="N545" s="9"/>
      <c r="O545" s="3"/>
      <c r="P545" s="3"/>
      <c r="Q545" s="3"/>
      <c r="R545" s="3"/>
      <c r="S545" s="3"/>
    </row>
    <row r="546" spans="1:19" s="10" customFormat="1" ht="18.75" customHeight="1" x14ac:dyDescent="0.25">
      <c r="A546" s="398"/>
      <c r="B546" s="514"/>
      <c r="C546" s="97" t="s">
        <v>94</v>
      </c>
      <c r="D546" s="106">
        <v>771</v>
      </c>
      <c r="E546" s="93">
        <f>'Приложение 5'!H211</f>
        <v>20000</v>
      </c>
      <c r="F546" s="93">
        <f>'Приложение 5'!I212</f>
        <v>20000</v>
      </c>
      <c r="G546" s="93">
        <f>'Приложение 5'!J212</f>
        <v>17998</v>
      </c>
      <c r="H546" s="93">
        <f>'Приложение 5'!K213</f>
        <v>19118.253680000002</v>
      </c>
      <c r="I546" s="93">
        <f>'Приложение 5'!L213</f>
        <v>0</v>
      </c>
      <c r="J546" s="93">
        <f>'Приложение 5'!M213</f>
        <v>0</v>
      </c>
      <c r="K546" s="93">
        <f>'Приложение 5'!N213</f>
        <v>0</v>
      </c>
      <c r="L546" s="93">
        <f>'Приложение 5'!O213</f>
        <v>0</v>
      </c>
      <c r="M546" s="93">
        <f>'Приложение 5'!P211</f>
        <v>77116.253679999994</v>
      </c>
      <c r="N546" s="9"/>
      <c r="O546" s="3"/>
      <c r="P546" s="3"/>
      <c r="Q546" s="3"/>
      <c r="R546" s="3"/>
      <c r="S546" s="3"/>
    </row>
    <row r="547" spans="1:19" s="10" customFormat="1" ht="47.1" customHeight="1" x14ac:dyDescent="0.25">
      <c r="A547" s="398"/>
      <c r="B547" s="514"/>
      <c r="C547" s="97" t="s">
        <v>95</v>
      </c>
      <c r="D547" s="106"/>
      <c r="E547" s="93">
        <v>0</v>
      </c>
      <c r="F547" s="93">
        <v>0</v>
      </c>
      <c r="G547" s="93">
        <v>0</v>
      </c>
      <c r="H547" s="93">
        <v>0</v>
      </c>
      <c r="I547" s="93">
        <v>0</v>
      </c>
      <c r="J547" s="93">
        <v>0</v>
      </c>
      <c r="K547" s="93">
        <v>0</v>
      </c>
      <c r="L547" s="93">
        <v>0</v>
      </c>
      <c r="M547" s="93">
        <v>0</v>
      </c>
      <c r="N547" s="9"/>
      <c r="O547" s="3"/>
      <c r="P547" s="3"/>
      <c r="Q547" s="3"/>
      <c r="R547" s="3"/>
      <c r="S547" s="3"/>
    </row>
    <row r="548" spans="1:19" s="10" customFormat="1" ht="63" customHeight="1" x14ac:dyDescent="0.25">
      <c r="A548" s="398"/>
      <c r="B548" s="514"/>
      <c r="C548" s="97" t="s">
        <v>96</v>
      </c>
      <c r="D548" s="106"/>
      <c r="E548" s="93">
        <v>0</v>
      </c>
      <c r="F548" s="93">
        <v>0</v>
      </c>
      <c r="G548" s="93">
        <v>0</v>
      </c>
      <c r="H548" s="93">
        <v>0</v>
      </c>
      <c r="I548" s="93">
        <v>0</v>
      </c>
      <c r="J548" s="93">
        <v>0</v>
      </c>
      <c r="K548" s="93">
        <v>0</v>
      </c>
      <c r="L548" s="93">
        <v>0</v>
      </c>
      <c r="M548" s="93">
        <v>0</v>
      </c>
      <c r="N548" s="9"/>
      <c r="O548" s="3"/>
      <c r="P548" s="3"/>
      <c r="Q548" s="3"/>
      <c r="R548" s="3"/>
      <c r="S548" s="3"/>
    </row>
    <row r="549" spans="1:19" s="10" customFormat="1" ht="63.95" customHeight="1" x14ac:dyDescent="0.25">
      <c r="A549" s="398"/>
      <c r="B549" s="514"/>
      <c r="C549" s="97" t="s">
        <v>97</v>
      </c>
      <c r="D549" s="106"/>
      <c r="E549" s="93">
        <v>0</v>
      </c>
      <c r="F549" s="93">
        <v>0</v>
      </c>
      <c r="G549" s="93">
        <v>0</v>
      </c>
      <c r="H549" s="93">
        <v>0</v>
      </c>
      <c r="I549" s="93">
        <v>0</v>
      </c>
      <c r="J549" s="93">
        <v>0</v>
      </c>
      <c r="K549" s="93">
        <v>0</v>
      </c>
      <c r="L549" s="93">
        <v>0</v>
      </c>
      <c r="M549" s="93">
        <v>0</v>
      </c>
      <c r="N549" s="9"/>
      <c r="O549" s="3"/>
      <c r="P549" s="3"/>
      <c r="Q549" s="3"/>
      <c r="R549" s="3"/>
      <c r="S549" s="3"/>
    </row>
    <row r="550" spans="1:19" s="10" customFormat="1" ht="48" customHeight="1" x14ac:dyDescent="0.25">
      <c r="A550" s="512"/>
      <c r="B550" s="515"/>
      <c r="C550" s="97" t="s">
        <v>98</v>
      </c>
      <c r="D550" s="106"/>
      <c r="E550" s="93">
        <v>0</v>
      </c>
      <c r="F550" s="93">
        <v>0</v>
      </c>
      <c r="G550" s="93">
        <v>0</v>
      </c>
      <c r="H550" s="93">
        <v>0</v>
      </c>
      <c r="I550" s="93">
        <v>0</v>
      </c>
      <c r="J550" s="93">
        <v>0</v>
      </c>
      <c r="K550" s="93">
        <v>0</v>
      </c>
      <c r="L550" s="93">
        <v>0</v>
      </c>
      <c r="M550" s="93">
        <v>0</v>
      </c>
      <c r="N550" s="9"/>
      <c r="O550" s="3"/>
      <c r="P550" s="3"/>
      <c r="Q550" s="3"/>
      <c r="R550" s="3"/>
      <c r="S550" s="3"/>
    </row>
    <row r="551" spans="1:19" s="10" customFormat="1" ht="18.75" customHeight="1" x14ac:dyDescent="0.25">
      <c r="A551" s="504" t="s">
        <v>267</v>
      </c>
      <c r="B551" s="513" t="s">
        <v>81</v>
      </c>
      <c r="C551" s="116" t="s">
        <v>27</v>
      </c>
      <c r="D551" s="106">
        <v>771</v>
      </c>
      <c r="E551" s="92">
        <f>SUM(E552:E557)</f>
        <v>5300</v>
      </c>
      <c r="F551" s="92">
        <f t="shared" ref="F551:L551" si="97">SUM(F552:F557)</f>
        <v>500</v>
      </c>
      <c r="G551" s="92">
        <f t="shared" si="97"/>
        <v>0</v>
      </c>
      <c r="H551" s="92">
        <f t="shared" si="97"/>
        <v>0</v>
      </c>
      <c r="I551" s="92">
        <f t="shared" si="97"/>
        <v>0</v>
      </c>
      <c r="J551" s="92">
        <f t="shared" si="97"/>
        <v>0</v>
      </c>
      <c r="K551" s="92">
        <f t="shared" si="97"/>
        <v>0</v>
      </c>
      <c r="L551" s="92">
        <f t="shared" si="97"/>
        <v>0</v>
      </c>
      <c r="M551" s="92">
        <f>SUM(E551:L551)</f>
        <v>5800</v>
      </c>
      <c r="N551" s="9"/>
      <c r="O551" s="3"/>
      <c r="P551" s="3"/>
      <c r="Q551" s="3"/>
      <c r="R551" s="3"/>
      <c r="S551" s="3"/>
    </row>
    <row r="552" spans="1:19" s="10" customFormat="1" ht="30" customHeight="1" x14ac:dyDescent="0.25">
      <c r="A552" s="467"/>
      <c r="B552" s="514"/>
      <c r="C552" s="97" t="s">
        <v>93</v>
      </c>
      <c r="D552" s="106"/>
      <c r="E552" s="72">
        <v>0</v>
      </c>
      <c r="F552" s="93">
        <v>0</v>
      </c>
      <c r="G552" s="93">
        <v>0</v>
      </c>
      <c r="H552" s="93">
        <v>0</v>
      </c>
      <c r="I552" s="93">
        <v>0</v>
      </c>
      <c r="J552" s="93">
        <v>0</v>
      </c>
      <c r="K552" s="93">
        <v>0</v>
      </c>
      <c r="L552" s="93">
        <v>0</v>
      </c>
      <c r="M552" s="93">
        <v>0</v>
      </c>
      <c r="N552" s="9"/>
      <c r="O552" s="3"/>
      <c r="P552" s="3"/>
      <c r="Q552" s="3"/>
      <c r="R552" s="3"/>
      <c r="S552" s="3"/>
    </row>
    <row r="553" spans="1:19" s="10" customFormat="1" ht="18.75" customHeight="1" x14ac:dyDescent="0.25">
      <c r="A553" s="467"/>
      <c r="B553" s="514"/>
      <c r="C553" s="97" t="s">
        <v>94</v>
      </c>
      <c r="D553" s="106">
        <v>771</v>
      </c>
      <c r="E553" s="93">
        <f>'Приложение 5'!H214</f>
        <v>5300</v>
      </c>
      <c r="F553" s="93">
        <f>'Приложение 5'!I215</f>
        <v>500</v>
      </c>
      <c r="G553" s="93">
        <f>'Приложение 5'!J215</f>
        <v>0</v>
      </c>
      <c r="H553" s="93">
        <f>'Приложение 5'!K215</f>
        <v>0</v>
      </c>
      <c r="I553" s="93">
        <f>'Приложение 5'!L215</f>
        <v>0</v>
      </c>
      <c r="J553" s="93">
        <f>'Приложение 5'!M215</f>
        <v>0</v>
      </c>
      <c r="K553" s="93">
        <f>'Приложение 5'!N215</f>
        <v>0</v>
      </c>
      <c r="L553" s="93">
        <f>'Приложение 5'!O215</f>
        <v>0</v>
      </c>
      <c r="M553" s="93">
        <f>'Приложение 5'!P214</f>
        <v>5800</v>
      </c>
      <c r="N553" s="9"/>
      <c r="O553" s="3"/>
      <c r="P553" s="3"/>
      <c r="Q553" s="3"/>
      <c r="R553" s="3"/>
      <c r="S553" s="3"/>
    </row>
    <row r="554" spans="1:19" s="10" customFormat="1" ht="47.1" customHeight="1" x14ac:dyDescent="0.25">
      <c r="A554" s="467"/>
      <c r="B554" s="514"/>
      <c r="C554" s="97" t="s">
        <v>95</v>
      </c>
      <c r="D554" s="106"/>
      <c r="E554" s="93">
        <v>0</v>
      </c>
      <c r="F554" s="93">
        <v>0</v>
      </c>
      <c r="G554" s="93">
        <v>0</v>
      </c>
      <c r="H554" s="93">
        <v>0</v>
      </c>
      <c r="I554" s="93">
        <v>0</v>
      </c>
      <c r="J554" s="93">
        <v>0</v>
      </c>
      <c r="K554" s="93">
        <v>0</v>
      </c>
      <c r="L554" s="93">
        <v>0</v>
      </c>
      <c r="M554" s="93">
        <v>0</v>
      </c>
      <c r="N554" s="9"/>
      <c r="O554" s="3"/>
      <c r="P554" s="3"/>
      <c r="Q554" s="3"/>
      <c r="R554" s="3"/>
      <c r="S554" s="3"/>
    </row>
    <row r="555" spans="1:19" s="10" customFormat="1" ht="63" customHeight="1" x14ac:dyDescent="0.25">
      <c r="A555" s="467"/>
      <c r="B555" s="514"/>
      <c r="C555" s="97" t="s">
        <v>96</v>
      </c>
      <c r="D555" s="106"/>
      <c r="E555" s="93">
        <v>0</v>
      </c>
      <c r="F555" s="93">
        <v>0</v>
      </c>
      <c r="G555" s="93">
        <v>0</v>
      </c>
      <c r="H555" s="93">
        <v>0</v>
      </c>
      <c r="I555" s="93">
        <v>0</v>
      </c>
      <c r="J555" s="93">
        <v>0</v>
      </c>
      <c r="K555" s="93">
        <v>0</v>
      </c>
      <c r="L555" s="93">
        <v>0</v>
      </c>
      <c r="M555" s="93">
        <v>0</v>
      </c>
      <c r="N555" s="9"/>
      <c r="O555" s="3"/>
      <c r="P555" s="3"/>
      <c r="Q555" s="3"/>
      <c r="R555" s="3"/>
      <c r="S555" s="3"/>
    </row>
    <row r="556" spans="1:19" s="10" customFormat="1" ht="63.95" customHeight="1" x14ac:dyDescent="0.25">
      <c r="A556" s="467"/>
      <c r="B556" s="514"/>
      <c r="C556" s="97" t="s">
        <v>97</v>
      </c>
      <c r="D556" s="106"/>
      <c r="E556" s="93">
        <v>0</v>
      </c>
      <c r="F556" s="93">
        <v>0</v>
      </c>
      <c r="G556" s="93">
        <v>0</v>
      </c>
      <c r="H556" s="93">
        <v>0</v>
      </c>
      <c r="I556" s="93">
        <v>0</v>
      </c>
      <c r="J556" s="93">
        <v>0</v>
      </c>
      <c r="K556" s="93">
        <v>0</v>
      </c>
      <c r="L556" s="93">
        <v>0</v>
      </c>
      <c r="M556" s="93">
        <v>0</v>
      </c>
      <c r="N556" s="9"/>
      <c r="O556" s="3"/>
      <c r="P556" s="3"/>
      <c r="Q556" s="3"/>
      <c r="R556" s="3"/>
      <c r="S556" s="3"/>
    </row>
    <row r="557" spans="1:19" s="10" customFormat="1" ht="48" customHeight="1" x14ac:dyDescent="0.25">
      <c r="A557" s="505"/>
      <c r="B557" s="515"/>
      <c r="C557" s="97" t="s">
        <v>98</v>
      </c>
      <c r="D557" s="106"/>
      <c r="E557" s="93">
        <v>0</v>
      </c>
      <c r="F557" s="93">
        <v>0</v>
      </c>
      <c r="G557" s="93">
        <v>0</v>
      </c>
      <c r="H557" s="93">
        <v>0</v>
      </c>
      <c r="I557" s="93">
        <v>0</v>
      </c>
      <c r="J557" s="93">
        <v>0</v>
      </c>
      <c r="K557" s="93">
        <v>0</v>
      </c>
      <c r="L557" s="93">
        <v>0</v>
      </c>
      <c r="M557" s="93">
        <v>0</v>
      </c>
      <c r="N557" s="9"/>
      <c r="O557" s="3"/>
      <c r="P557" s="3"/>
      <c r="Q557" s="3"/>
      <c r="R557" s="3"/>
      <c r="S557" s="3"/>
    </row>
    <row r="558" spans="1:19" s="10" customFormat="1" ht="18.75" customHeight="1" x14ac:dyDescent="0.25">
      <c r="A558" s="504" t="s">
        <v>268</v>
      </c>
      <c r="B558" s="493" t="s">
        <v>82</v>
      </c>
      <c r="C558" s="116" t="s">
        <v>27</v>
      </c>
      <c r="D558" s="106">
        <v>771</v>
      </c>
      <c r="E558" s="92">
        <f>SUM(E559:E564)</f>
        <v>300</v>
      </c>
      <c r="F558" s="92">
        <f t="shared" ref="F558:L558" si="98">SUM(F559:F564)</f>
        <v>0</v>
      </c>
      <c r="G558" s="92">
        <f t="shared" si="98"/>
        <v>0</v>
      </c>
      <c r="H558" s="92">
        <f t="shared" si="98"/>
        <v>0</v>
      </c>
      <c r="I558" s="92">
        <f t="shared" si="98"/>
        <v>0</v>
      </c>
      <c r="J558" s="92">
        <f t="shared" si="98"/>
        <v>0</v>
      </c>
      <c r="K558" s="92">
        <f t="shared" si="98"/>
        <v>0</v>
      </c>
      <c r="L558" s="92">
        <f t="shared" si="98"/>
        <v>0</v>
      </c>
      <c r="M558" s="92">
        <f>SUM(E558:L558)</f>
        <v>300</v>
      </c>
      <c r="N558" s="9"/>
      <c r="O558" s="3"/>
      <c r="P558" s="3"/>
      <c r="Q558" s="3"/>
      <c r="R558" s="3"/>
      <c r="S558" s="3"/>
    </row>
    <row r="559" spans="1:19" s="10" customFormat="1" ht="30" customHeight="1" x14ac:dyDescent="0.25">
      <c r="A559" s="467"/>
      <c r="B559" s="393"/>
      <c r="C559" s="97" t="s">
        <v>93</v>
      </c>
      <c r="D559" s="106"/>
      <c r="E559" s="72">
        <v>0</v>
      </c>
      <c r="F559" s="93">
        <v>0</v>
      </c>
      <c r="G559" s="93">
        <v>0</v>
      </c>
      <c r="H559" s="93">
        <v>0</v>
      </c>
      <c r="I559" s="93">
        <v>0</v>
      </c>
      <c r="J559" s="93">
        <v>0</v>
      </c>
      <c r="K559" s="93">
        <v>0</v>
      </c>
      <c r="L559" s="93">
        <v>0</v>
      </c>
      <c r="M559" s="93">
        <v>0</v>
      </c>
      <c r="N559" s="9"/>
      <c r="O559" s="3"/>
      <c r="P559" s="3"/>
      <c r="Q559" s="3"/>
      <c r="R559" s="3"/>
      <c r="S559" s="3"/>
    </row>
    <row r="560" spans="1:19" s="10" customFormat="1" ht="18.75" customHeight="1" x14ac:dyDescent="0.25">
      <c r="A560" s="467"/>
      <c r="B560" s="393"/>
      <c r="C560" s="97" t="s">
        <v>94</v>
      </c>
      <c r="D560" s="106">
        <v>771</v>
      </c>
      <c r="E560" s="93">
        <f>'Приложение 5'!H216</f>
        <v>300</v>
      </c>
      <c r="F560" s="93">
        <f>'Приложение 5'!I216</f>
        <v>0</v>
      </c>
      <c r="G560" s="93">
        <f>'Приложение 5'!J216</f>
        <v>0</v>
      </c>
      <c r="H560" s="93">
        <f>'Приложение 5'!K216</f>
        <v>0</v>
      </c>
      <c r="I560" s="93">
        <f>'Приложение 5'!L216</f>
        <v>0</v>
      </c>
      <c r="J560" s="93">
        <f>'Приложение 5'!M216</f>
        <v>0</v>
      </c>
      <c r="K560" s="93">
        <f>'Приложение 5'!N216</f>
        <v>0</v>
      </c>
      <c r="L560" s="93">
        <f>'Приложение 5'!O216</f>
        <v>0</v>
      </c>
      <c r="M560" s="93">
        <f>'Приложение 5'!P216</f>
        <v>300</v>
      </c>
      <c r="N560" s="9"/>
      <c r="O560" s="3"/>
      <c r="P560" s="3"/>
      <c r="Q560" s="3"/>
      <c r="R560" s="3"/>
      <c r="S560" s="3"/>
    </row>
    <row r="561" spans="1:19" s="10" customFormat="1" ht="47.1" customHeight="1" x14ac:dyDescent="0.25">
      <c r="A561" s="467"/>
      <c r="B561" s="393"/>
      <c r="C561" s="97" t="s">
        <v>95</v>
      </c>
      <c r="D561" s="106"/>
      <c r="E561" s="93">
        <v>0</v>
      </c>
      <c r="F561" s="93">
        <v>0</v>
      </c>
      <c r="G561" s="93">
        <v>0</v>
      </c>
      <c r="H561" s="93">
        <v>0</v>
      </c>
      <c r="I561" s="93">
        <v>0</v>
      </c>
      <c r="J561" s="93">
        <v>0</v>
      </c>
      <c r="K561" s="93">
        <v>0</v>
      </c>
      <c r="L561" s="93">
        <v>0</v>
      </c>
      <c r="M561" s="93">
        <v>0</v>
      </c>
      <c r="N561" s="9"/>
      <c r="O561" s="3"/>
      <c r="P561" s="3"/>
      <c r="Q561" s="3"/>
      <c r="R561" s="3"/>
      <c r="S561" s="3"/>
    </row>
    <row r="562" spans="1:19" s="10" customFormat="1" ht="63" customHeight="1" x14ac:dyDescent="0.25">
      <c r="A562" s="467"/>
      <c r="B562" s="393"/>
      <c r="C562" s="97" t="s">
        <v>96</v>
      </c>
      <c r="D562" s="106"/>
      <c r="E562" s="93">
        <v>0</v>
      </c>
      <c r="F562" s="93">
        <v>0</v>
      </c>
      <c r="G562" s="93">
        <v>0</v>
      </c>
      <c r="H562" s="93">
        <v>0</v>
      </c>
      <c r="I562" s="93">
        <v>0</v>
      </c>
      <c r="J562" s="93">
        <v>0</v>
      </c>
      <c r="K562" s="93">
        <v>0</v>
      </c>
      <c r="L562" s="93">
        <v>0</v>
      </c>
      <c r="M562" s="93">
        <v>0</v>
      </c>
      <c r="N562" s="9"/>
      <c r="O562" s="3"/>
      <c r="P562" s="3"/>
      <c r="Q562" s="3"/>
      <c r="R562" s="3"/>
      <c r="S562" s="3"/>
    </row>
    <row r="563" spans="1:19" s="10" customFormat="1" ht="63.95" customHeight="1" x14ac:dyDescent="0.25">
      <c r="A563" s="467"/>
      <c r="B563" s="393"/>
      <c r="C563" s="97" t="s">
        <v>97</v>
      </c>
      <c r="D563" s="106"/>
      <c r="E563" s="93">
        <v>0</v>
      </c>
      <c r="F563" s="93">
        <v>0</v>
      </c>
      <c r="G563" s="93">
        <v>0</v>
      </c>
      <c r="H563" s="93">
        <v>0</v>
      </c>
      <c r="I563" s="93">
        <v>0</v>
      </c>
      <c r="J563" s="93">
        <v>0</v>
      </c>
      <c r="K563" s="93">
        <v>0</v>
      </c>
      <c r="L563" s="93">
        <v>0</v>
      </c>
      <c r="M563" s="93">
        <v>0</v>
      </c>
      <c r="N563" s="9"/>
      <c r="O563" s="3"/>
      <c r="P563" s="3"/>
      <c r="Q563" s="3"/>
      <c r="R563" s="3"/>
      <c r="S563" s="3"/>
    </row>
    <row r="564" spans="1:19" s="10" customFormat="1" ht="48" customHeight="1" x14ac:dyDescent="0.25">
      <c r="A564" s="505"/>
      <c r="B564" s="506"/>
      <c r="C564" s="97" t="s">
        <v>98</v>
      </c>
      <c r="D564" s="106"/>
      <c r="E564" s="93">
        <v>0</v>
      </c>
      <c r="F564" s="93">
        <v>0</v>
      </c>
      <c r="G564" s="93">
        <v>0</v>
      </c>
      <c r="H564" s="93">
        <v>0</v>
      </c>
      <c r="I564" s="93">
        <v>0</v>
      </c>
      <c r="J564" s="93">
        <v>0</v>
      </c>
      <c r="K564" s="93">
        <v>0</v>
      </c>
      <c r="L564" s="93">
        <v>0</v>
      </c>
      <c r="M564" s="93">
        <v>0</v>
      </c>
      <c r="N564" s="9"/>
      <c r="O564" s="3"/>
      <c r="P564" s="3"/>
      <c r="Q564" s="3"/>
      <c r="R564" s="3"/>
      <c r="S564" s="3"/>
    </row>
    <row r="565" spans="1:19" s="10" customFormat="1" ht="18.75" customHeight="1" x14ac:dyDescent="0.25">
      <c r="A565" s="504" t="s">
        <v>269</v>
      </c>
      <c r="B565" s="491" t="s">
        <v>87</v>
      </c>
      <c r="C565" s="116" t="s">
        <v>27</v>
      </c>
      <c r="D565" s="106">
        <v>771</v>
      </c>
      <c r="E565" s="92">
        <f>SUM(E566:E571)</f>
        <v>2300</v>
      </c>
      <c r="F565" s="92">
        <f t="shared" ref="F565:L565" si="99">SUM(F566:F571)</f>
        <v>0</v>
      </c>
      <c r="G565" s="92">
        <f t="shared" si="99"/>
        <v>0</v>
      </c>
      <c r="H565" s="92">
        <f t="shared" si="99"/>
        <v>0</v>
      </c>
      <c r="I565" s="92">
        <f t="shared" si="99"/>
        <v>0</v>
      </c>
      <c r="J565" s="92">
        <f t="shared" si="99"/>
        <v>0</v>
      </c>
      <c r="K565" s="92">
        <f t="shared" si="99"/>
        <v>0</v>
      </c>
      <c r="L565" s="92">
        <f t="shared" si="99"/>
        <v>0</v>
      </c>
      <c r="M565" s="92">
        <f>SUM(E565:I565)</f>
        <v>2300</v>
      </c>
      <c r="N565" s="9"/>
      <c r="O565" s="3"/>
      <c r="P565" s="3"/>
      <c r="Q565" s="3"/>
      <c r="R565" s="3"/>
      <c r="S565" s="3"/>
    </row>
    <row r="566" spans="1:19" s="10" customFormat="1" ht="30" customHeight="1" x14ac:dyDescent="0.25">
      <c r="A566" s="467"/>
      <c r="B566" s="491"/>
      <c r="C566" s="97" t="s">
        <v>93</v>
      </c>
      <c r="D566" s="106"/>
      <c r="E566" s="72">
        <v>0</v>
      </c>
      <c r="F566" s="93">
        <v>0</v>
      </c>
      <c r="G566" s="93">
        <v>0</v>
      </c>
      <c r="H566" s="93">
        <v>0</v>
      </c>
      <c r="I566" s="93">
        <v>0</v>
      </c>
      <c r="J566" s="93">
        <v>0</v>
      </c>
      <c r="K566" s="93">
        <v>0</v>
      </c>
      <c r="L566" s="93">
        <v>0</v>
      </c>
      <c r="M566" s="93">
        <v>0</v>
      </c>
      <c r="N566" s="9"/>
      <c r="O566" s="3"/>
      <c r="P566" s="3"/>
      <c r="Q566" s="3"/>
      <c r="R566" s="3"/>
      <c r="S566" s="3"/>
    </row>
    <row r="567" spans="1:19" s="10" customFormat="1" ht="18.75" customHeight="1" x14ac:dyDescent="0.25">
      <c r="A567" s="467"/>
      <c r="B567" s="491"/>
      <c r="C567" s="97" t="s">
        <v>94</v>
      </c>
      <c r="D567" s="106">
        <v>771</v>
      </c>
      <c r="E567" s="93">
        <f>'Приложение 5'!H217</f>
        <v>2300</v>
      </c>
      <c r="F567" s="93">
        <f>'Приложение 5'!I217</f>
        <v>0</v>
      </c>
      <c r="G567" s="93">
        <f>'Приложение 5'!J217</f>
        <v>0</v>
      </c>
      <c r="H567" s="93">
        <f>'Приложение 5'!K217</f>
        <v>0</v>
      </c>
      <c r="I567" s="93">
        <f>'Приложение 5'!L217</f>
        <v>0</v>
      </c>
      <c r="J567" s="93">
        <f>'Приложение 5'!M217</f>
        <v>0</v>
      </c>
      <c r="K567" s="93">
        <f>'Приложение 5'!N217</f>
        <v>0</v>
      </c>
      <c r="L567" s="93">
        <f>'Приложение 5'!O217</f>
        <v>0</v>
      </c>
      <c r="M567" s="93">
        <f>'Приложение 5'!P217</f>
        <v>2300</v>
      </c>
      <c r="N567" s="9"/>
      <c r="O567" s="3"/>
      <c r="P567" s="3"/>
      <c r="Q567" s="3"/>
      <c r="R567" s="3"/>
      <c r="S567" s="3"/>
    </row>
    <row r="568" spans="1:19" s="10" customFormat="1" ht="47.1" customHeight="1" x14ac:dyDescent="0.25">
      <c r="A568" s="467"/>
      <c r="B568" s="491"/>
      <c r="C568" s="97" t="s">
        <v>95</v>
      </c>
      <c r="D568" s="106"/>
      <c r="E568" s="93">
        <v>0</v>
      </c>
      <c r="F568" s="93">
        <v>0</v>
      </c>
      <c r="G568" s="93">
        <v>0</v>
      </c>
      <c r="H568" s="93">
        <v>0</v>
      </c>
      <c r="I568" s="93">
        <v>0</v>
      </c>
      <c r="J568" s="93">
        <v>0</v>
      </c>
      <c r="K568" s="93">
        <v>0</v>
      </c>
      <c r="L568" s="93">
        <v>0</v>
      </c>
      <c r="M568" s="93">
        <v>0</v>
      </c>
      <c r="N568" s="9"/>
      <c r="O568" s="3"/>
      <c r="P568" s="3"/>
      <c r="Q568" s="3"/>
      <c r="R568" s="3"/>
      <c r="S568" s="3"/>
    </row>
    <row r="569" spans="1:19" s="10" customFormat="1" ht="63" customHeight="1" x14ac:dyDescent="0.25">
      <c r="A569" s="467"/>
      <c r="B569" s="491"/>
      <c r="C569" s="97" t="s">
        <v>96</v>
      </c>
      <c r="D569" s="106"/>
      <c r="E569" s="93">
        <v>0</v>
      </c>
      <c r="F569" s="93">
        <v>0</v>
      </c>
      <c r="G569" s="93">
        <v>0</v>
      </c>
      <c r="H569" s="93">
        <v>0</v>
      </c>
      <c r="I569" s="93">
        <v>0</v>
      </c>
      <c r="J569" s="93">
        <v>0</v>
      </c>
      <c r="K569" s="93">
        <v>0</v>
      </c>
      <c r="L569" s="93">
        <v>0</v>
      </c>
      <c r="M569" s="93">
        <v>0</v>
      </c>
      <c r="N569" s="9"/>
      <c r="O569" s="3"/>
      <c r="P569" s="3"/>
      <c r="Q569" s="3"/>
      <c r="R569" s="3"/>
      <c r="S569" s="3"/>
    </row>
    <row r="570" spans="1:19" s="10" customFormat="1" ht="63.95" customHeight="1" x14ac:dyDescent="0.25">
      <c r="A570" s="467"/>
      <c r="B570" s="491"/>
      <c r="C570" s="97" t="s">
        <v>97</v>
      </c>
      <c r="D570" s="106"/>
      <c r="E570" s="93">
        <v>0</v>
      </c>
      <c r="F570" s="93">
        <v>0</v>
      </c>
      <c r="G570" s="93">
        <v>0</v>
      </c>
      <c r="H570" s="93">
        <v>0</v>
      </c>
      <c r="I570" s="93">
        <v>0</v>
      </c>
      <c r="J570" s="93">
        <v>0</v>
      </c>
      <c r="K570" s="93">
        <v>0</v>
      </c>
      <c r="L570" s="93">
        <v>0</v>
      </c>
      <c r="M570" s="93">
        <v>0</v>
      </c>
      <c r="N570" s="9"/>
      <c r="O570" s="3"/>
      <c r="P570" s="3"/>
      <c r="Q570" s="3"/>
      <c r="R570" s="3"/>
      <c r="S570" s="3"/>
    </row>
    <row r="571" spans="1:19" s="10" customFormat="1" ht="48" customHeight="1" x14ac:dyDescent="0.25">
      <c r="A571" s="505"/>
      <c r="B571" s="491"/>
      <c r="C571" s="97" t="s">
        <v>98</v>
      </c>
      <c r="D571" s="106"/>
      <c r="E571" s="93">
        <v>0</v>
      </c>
      <c r="F571" s="93">
        <v>0</v>
      </c>
      <c r="G571" s="93">
        <v>0</v>
      </c>
      <c r="H571" s="93">
        <v>0</v>
      </c>
      <c r="I571" s="93">
        <v>0</v>
      </c>
      <c r="J571" s="93">
        <v>0</v>
      </c>
      <c r="K571" s="93">
        <v>0</v>
      </c>
      <c r="L571" s="93">
        <v>0</v>
      </c>
      <c r="M571" s="93">
        <v>0</v>
      </c>
      <c r="N571" s="9"/>
      <c r="O571" s="3"/>
      <c r="P571" s="3"/>
      <c r="Q571" s="3"/>
      <c r="R571" s="3"/>
      <c r="S571" s="3"/>
    </row>
    <row r="572" spans="1:19" s="13" customFormat="1" ht="18.75" customHeight="1" x14ac:dyDescent="0.2">
      <c r="A572" s="511" t="s">
        <v>167</v>
      </c>
      <c r="B572" s="543" t="s">
        <v>379</v>
      </c>
      <c r="C572" s="116" t="s">
        <v>27</v>
      </c>
      <c r="D572" s="106">
        <v>771</v>
      </c>
      <c r="E572" s="92">
        <f>SUM(E573:E578)</f>
        <v>299108.60000000003</v>
      </c>
      <c r="F572" s="92">
        <f t="shared" ref="F572:L572" si="100">SUM(F573:F578)</f>
        <v>346902.07999999996</v>
      </c>
      <c r="G572" s="92">
        <f t="shared" si="100"/>
        <v>215073.07</v>
      </c>
      <c r="H572" s="92">
        <f t="shared" si="100"/>
        <v>228290.87</v>
      </c>
      <c r="I572" s="92">
        <f t="shared" si="100"/>
        <v>226861.88</v>
      </c>
      <c r="J572" s="92">
        <f t="shared" si="100"/>
        <v>226861.88</v>
      </c>
      <c r="K572" s="92">
        <f t="shared" si="100"/>
        <v>226861.88</v>
      </c>
      <c r="L572" s="92">
        <f t="shared" si="100"/>
        <v>226861.88</v>
      </c>
      <c r="M572" s="63">
        <f>SUM(E572:L572)</f>
        <v>1996822.1399999997</v>
      </c>
      <c r="N572" s="9"/>
      <c r="O572" s="9"/>
      <c r="P572" s="9"/>
      <c r="Q572" s="9"/>
      <c r="R572" s="9"/>
      <c r="S572" s="9"/>
    </row>
    <row r="573" spans="1:19" s="13" customFormat="1" ht="30" customHeight="1" x14ac:dyDescent="0.2">
      <c r="A573" s="398"/>
      <c r="B573" s="413"/>
      <c r="C573" s="97" t="s">
        <v>93</v>
      </c>
      <c r="D573" s="106"/>
      <c r="E573" s="72">
        <v>0</v>
      </c>
      <c r="F573" s="65">
        <v>0</v>
      </c>
      <c r="G573" s="65">
        <v>0</v>
      </c>
      <c r="H573" s="65">
        <v>0</v>
      </c>
      <c r="I573" s="65">
        <v>0</v>
      </c>
      <c r="J573" s="65">
        <v>0</v>
      </c>
      <c r="K573" s="65">
        <v>0</v>
      </c>
      <c r="L573" s="65">
        <v>0</v>
      </c>
      <c r="M573" s="65">
        <v>0</v>
      </c>
      <c r="N573" s="9"/>
      <c r="O573" s="9"/>
      <c r="P573" s="9"/>
      <c r="Q573" s="9"/>
      <c r="R573" s="9"/>
      <c r="S573" s="9"/>
    </row>
    <row r="574" spans="1:19" s="13" customFormat="1" ht="18.75" customHeight="1" x14ac:dyDescent="0.2">
      <c r="A574" s="398"/>
      <c r="B574" s="413"/>
      <c r="C574" s="97" t="s">
        <v>94</v>
      </c>
      <c r="D574" s="106">
        <v>771</v>
      </c>
      <c r="E574" s="93">
        <f>'Приложение 5'!H219</f>
        <v>299108.60000000003</v>
      </c>
      <c r="F574" s="93">
        <f>'Приложение 5'!I219</f>
        <v>346902.07999999996</v>
      </c>
      <c r="G574" s="93">
        <f>'Приложение 5'!J219</f>
        <v>215073.07</v>
      </c>
      <c r="H574" s="93">
        <f>'Приложение 5'!K218</f>
        <v>228290.87</v>
      </c>
      <c r="I574" s="93">
        <f>'Приложение 5'!L218</f>
        <v>226861.88</v>
      </c>
      <c r="J574" s="93">
        <f>'Приложение 5'!M218</f>
        <v>226861.88</v>
      </c>
      <c r="K574" s="93">
        <f>'Приложение 5'!N218</f>
        <v>226861.88</v>
      </c>
      <c r="L574" s="93">
        <f>'Приложение 5'!O218</f>
        <v>226861.88</v>
      </c>
      <c r="M574" s="93">
        <f>'Приложение 5'!P218</f>
        <v>1996822.1399999997</v>
      </c>
      <c r="N574" s="9"/>
      <c r="O574" s="9"/>
      <c r="P574" s="9"/>
      <c r="Q574" s="9"/>
      <c r="R574" s="9"/>
      <c r="S574" s="9"/>
    </row>
    <row r="575" spans="1:19" s="13" customFormat="1" ht="47.1" customHeight="1" x14ac:dyDescent="0.2">
      <c r="A575" s="398"/>
      <c r="B575" s="413"/>
      <c r="C575" s="97" t="s">
        <v>95</v>
      </c>
      <c r="D575" s="106"/>
      <c r="E575" s="65">
        <v>0</v>
      </c>
      <c r="F575" s="65">
        <v>0</v>
      </c>
      <c r="G575" s="65">
        <v>0</v>
      </c>
      <c r="H575" s="65">
        <v>0</v>
      </c>
      <c r="I575" s="65">
        <v>0</v>
      </c>
      <c r="J575" s="65">
        <v>0</v>
      </c>
      <c r="K575" s="65">
        <v>0</v>
      </c>
      <c r="L575" s="65">
        <v>0</v>
      </c>
      <c r="M575" s="65">
        <v>0</v>
      </c>
      <c r="N575" s="9"/>
      <c r="O575" s="9"/>
      <c r="P575" s="9"/>
      <c r="Q575" s="9"/>
      <c r="R575" s="9"/>
      <c r="S575" s="9"/>
    </row>
    <row r="576" spans="1:19" s="13" customFormat="1" ht="63" customHeight="1" x14ac:dyDescent="0.2">
      <c r="A576" s="398"/>
      <c r="B576" s="413"/>
      <c r="C576" s="97" t="s">
        <v>96</v>
      </c>
      <c r="D576" s="106"/>
      <c r="E576" s="65">
        <v>0</v>
      </c>
      <c r="F576" s="65">
        <v>0</v>
      </c>
      <c r="G576" s="65">
        <v>0</v>
      </c>
      <c r="H576" s="65">
        <v>0</v>
      </c>
      <c r="I576" s="65">
        <v>0</v>
      </c>
      <c r="J576" s="65">
        <v>0</v>
      </c>
      <c r="K576" s="65">
        <v>0</v>
      </c>
      <c r="L576" s="65">
        <v>0</v>
      </c>
      <c r="M576" s="65">
        <v>0</v>
      </c>
      <c r="N576" s="9"/>
      <c r="O576" s="9"/>
      <c r="P576" s="9"/>
      <c r="Q576" s="9"/>
      <c r="R576" s="9"/>
      <c r="S576" s="9"/>
    </row>
    <row r="577" spans="1:19" s="13" customFormat="1" ht="63.95" customHeight="1" x14ac:dyDescent="0.2">
      <c r="A577" s="398"/>
      <c r="B577" s="413"/>
      <c r="C577" s="97" t="s">
        <v>97</v>
      </c>
      <c r="D577" s="106"/>
      <c r="E577" s="65">
        <v>0</v>
      </c>
      <c r="F577" s="65">
        <v>0</v>
      </c>
      <c r="G577" s="65">
        <v>0</v>
      </c>
      <c r="H577" s="65">
        <v>0</v>
      </c>
      <c r="I577" s="65">
        <v>0</v>
      </c>
      <c r="J577" s="65">
        <v>0</v>
      </c>
      <c r="K577" s="65">
        <v>0</v>
      </c>
      <c r="L577" s="65">
        <v>0</v>
      </c>
      <c r="M577" s="65">
        <v>0</v>
      </c>
      <c r="N577" s="9"/>
      <c r="O577" s="9"/>
      <c r="P577" s="9"/>
      <c r="Q577" s="9"/>
      <c r="R577" s="9"/>
      <c r="S577" s="9"/>
    </row>
    <row r="578" spans="1:19" s="13" customFormat="1" ht="48" customHeight="1" x14ac:dyDescent="0.2">
      <c r="A578" s="512"/>
      <c r="B578" s="544"/>
      <c r="C578" s="97" t="s">
        <v>98</v>
      </c>
      <c r="D578" s="106"/>
      <c r="E578" s="65">
        <v>0</v>
      </c>
      <c r="F578" s="65">
        <v>0</v>
      </c>
      <c r="G578" s="65">
        <v>0</v>
      </c>
      <c r="H578" s="65">
        <v>0</v>
      </c>
      <c r="I578" s="65">
        <v>0</v>
      </c>
      <c r="J578" s="65">
        <v>0</v>
      </c>
      <c r="K578" s="65">
        <v>0</v>
      </c>
      <c r="L578" s="65">
        <v>0</v>
      </c>
      <c r="M578" s="65">
        <v>0</v>
      </c>
      <c r="N578" s="9"/>
      <c r="O578" s="9"/>
      <c r="P578" s="9"/>
      <c r="Q578" s="9"/>
      <c r="R578" s="9"/>
      <c r="S578" s="9"/>
    </row>
    <row r="579" spans="1:19" s="47" customFormat="1" ht="18.75" customHeight="1" x14ac:dyDescent="0.25">
      <c r="A579" s="511" t="s">
        <v>233</v>
      </c>
      <c r="B579" s="513" t="s">
        <v>251</v>
      </c>
      <c r="C579" s="116" t="s">
        <v>27</v>
      </c>
      <c r="D579" s="106">
        <v>771</v>
      </c>
      <c r="E579" s="92">
        <f>SUM(E580:E585)</f>
        <v>281511.33</v>
      </c>
      <c r="F579" s="92">
        <f t="shared" ref="F579:L579" si="101">SUM(F580:F585)</f>
        <v>322585.69999999995</v>
      </c>
      <c r="G579" s="92">
        <f t="shared" si="101"/>
        <v>151467.28</v>
      </c>
      <c r="H579" s="92">
        <f t="shared" si="101"/>
        <v>155957.28</v>
      </c>
      <c r="I579" s="92">
        <f t="shared" si="101"/>
        <v>154967.28</v>
      </c>
      <c r="J579" s="92">
        <f t="shared" si="101"/>
        <v>154967.28</v>
      </c>
      <c r="K579" s="92">
        <f t="shared" si="101"/>
        <v>154967.28</v>
      </c>
      <c r="L579" s="92">
        <f t="shared" si="101"/>
        <v>154967.28</v>
      </c>
      <c r="M579" s="92">
        <f>SUM(E579:L579)</f>
        <v>1531390.7100000002</v>
      </c>
      <c r="N579" s="9"/>
      <c r="O579" s="3"/>
      <c r="P579" s="3"/>
      <c r="Q579" s="3"/>
      <c r="R579" s="3"/>
      <c r="S579" s="3"/>
    </row>
    <row r="580" spans="1:19" s="47" customFormat="1" ht="30" customHeight="1" x14ac:dyDescent="0.25">
      <c r="A580" s="398"/>
      <c r="B580" s="514"/>
      <c r="C580" s="97" t="s">
        <v>93</v>
      </c>
      <c r="D580" s="106"/>
      <c r="E580" s="72">
        <v>0</v>
      </c>
      <c r="F580" s="93">
        <v>0</v>
      </c>
      <c r="G580" s="93">
        <v>0</v>
      </c>
      <c r="H580" s="93">
        <v>0</v>
      </c>
      <c r="I580" s="93">
        <v>0</v>
      </c>
      <c r="J580" s="93">
        <v>0</v>
      </c>
      <c r="K580" s="93">
        <v>0</v>
      </c>
      <c r="L580" s="93">
        <v>0</v>
      </c>
      <c r="M580" s="93">
        <v>0</v>
      </c>
      <c r="N580" s="9"/>
      <c r="O580" s="3"/>
      <c r="P580" s="3"/>
      <c r="Q580" s="3"/>
      <c r="R580" s="3"/>
      <c r="S580" s="3"/>
    </row>
    <row r="581" spans="1:19" s="47" customFormat="1" ht="18.75" customHeight="1" x14ac:dyDescent="0.25">
      <c r="A581" s="398"/>
      <c r="B581" s="514"/>
      <c r="C581" s="97" t="s">
        <v>94</v>
      </c>
      <c r="D581" s="106">
        <v>771</v>
      </c>
      <c r="E581" s="93">
        <f>'Приложение 5'!H221</f>
        <v>281511.33</v>
      </c>
      <c r="F581" s="93">
        <f>'Приложение 5'!I221</f>
        <v>322585.69999999995</v>
      </c>
      <c r="G581" s="93">
        <f>'Приложение 5'!J221</f>
        <v>151467.28</v>
      </c>
      <c r="H581" s="93">
        <f>'Приложение 5'!K221</f>
        <v>155957.28</v>
      </c>
      <c r="I581" s="93">
        <f>'Приложение 5'!L221</f>
        <v>154967.28</v>
      </c>
      <c r="J581" s="93">
        <f>'Приложение 5'!M221</f>
        <v>154967.28</v>
      </c>
      <c r="K581" s="93">
        <f>'Приложение 5'!N221</f>
        <v>154967.28</v>
      </c>
      <c r="L581" s="93">
        <f>'Приложение 5'!O221</f>
        <v>154967.28</v>
      </c>
      <c r="M581" s="93">
        <f>'Приложение 5'!P221</f>
        <v>1531390.7100000002</v>
      </c>
      <c r="N581" s="9"/>
      <c r="O581" s="3"/>
      <c r="P581" s="3"/>
      <c r="Q581" s="3"/>
      <c r="R581" s="3"/>
      <c r="S581" s="3"/>
    </row>
    <row r="582" spans="1:19" s="47" customFormat="1" ht="47.1" customHeight="1" x14ac:dyDescent="0.25">
      <c r="A582" s="398"/>
      <c r="B582" s="514"/>
      <c r="C582" s="97" t="s">
        <v>95</v>
      </c>
      <c r="D582" s="106"/>
      <c r="E582" s="93">
        <v>0</v>
      </c>
      <c r="F582" s="93">
        <v>0</v>
      </c>
      <c r="G582" s="93">
        <v>0</v>
      </c>
      <c r="H582" s="93">
        <v>0</v>
      </c>
      <c r="I582" s="93">
        <v>0</v>
      </c>
      <c r="J582" s="93">
        <v>0</v>
      </c>
      <c r="K582" s="93">
        <v>0</v>
      </c>
      <c r="L582" s="93">
        <v>0</v>
      </c>
      <c r="M582" s="93">
        <v>0</v>
      </c>
      <c r="N582" s="9"/>
      <c r="O582" s="3"/>
      <c r="P582" s="3"/>
      <c r="Q582" s="3"/>
      <c r="R582" s="3"/>
      <c r="S582" s="3"/>
    </row>
    <row r="583" spans="1:19" s="47" customFormat="1" ht="63" customHeight="1" x14ac:dyDescent="0.25">
      <c r="A583" s="398"/>
      <c r="B583" s="514"/>
      <c r="C583" s="97" t="s">
        <v>96</v>
      </c>
      <c r="D583" s="106"/>
      <c r="E583" s="93">
        <v>0</v>
      </c>
      <c r="F583" s="93">
        <v>0</v>
      </c>
      <c r="G583" s="93">
        <v>0</v>
      </c>
      <c r="H583" s="93">
        <v>0</v>
      </c>
      <c r="I583" s="93">
        <v>0</v>
      </c>
      <c r="J583" s="93">
        <v>0</v>
      </c>
      <c r="K583" s="93">
        <v>0</v>
      </c>
      <c r="L583" s="93">
        <v>0</v>
      </c>
      <c r="M583" s="93">
        <v>0</v>
      </c>
      <c r="N583" s="9"/>
      <c r="O583" s="3"/>
      <c r="P583" s="3"/>
      <c r="Q583" s="3"/>
      <c r="R583" s="3"/>
      <c r="S583" s="3"/>
    </row>
    <row r="584" spans="1:19" s="47" customFormat="1" ht="63.95" customHeight="1" x14ac:dyDescent="0.25">
      <c r="A584" s="398"/>
      <c r="B584" s="514"/>
      <c r="C584" s="97" t="s">
        <v>97</v>
      </c>
      <c r="D584" s="106"/>
      <c r="E584" s="93">
        <v>0</v>
      </c>
      <c r="F584" s="93">
        <v>0</v>
      </c>
      <c r="G584" s="93">
        <v>0</v>
      </c>
      <c r="H584" s="93">
        <v>0</v>
      </c>
      <c r="I584" s="93">
        <v>0</v>
      </c>
      <c r="J584" s="93">
        <v>0</v>
      </c>
      <c r="K584" s="93">
        <v>0</v>
      </c>
      <c r="L584" s="93">
        <v>0</v>
      </c>
      <c r="M584" s="93">
        <v>0</v>
      </c>
      <c r="N584" s="9"/>
      <c r="O584" s="3"/>
      <c r="P584" s="3"/>
      <c r="Q584" s="3"/>
      <c r="R584" s="3"/>
      <c r="S584" s="3"/>
    </row>
    <row r="585" spans="1:19" s="47" customFormat="1" ht="48" customHeight="1" x14ac:dyDescent="0.25">
      <c r="A585" s="512"/>
      <c r="B585" s="515"/>
      <c r="C585" s="97" t="s">
        <v>98</v>
      </c>
      <c r="D585" s="106"/>
      <c r="E585" s="93">
        <v>0</v>
      </c>
      <c r="F585" s="93">
        <v>0</v>
      </c>
      <c r="G585" s="93">
        <v>0</v>
      </c>
      <c r="H585" s="93">
        <v>0</v>
      </c>
      <c r="I585" s="93">
        <v>0</v>
      </c>
      <c r="J585" s="93">
        <v>0</v>
      </c>
      <c r="K585" s="93">
        <v>0</v>
      </c>
      <c r="L585" s="93">
        <v>0</v>
      </c>
      <c r="M585" s="93">
        <v>0</v>
      </c>
      <c r="N585" s="9"/>
      <c r="O585" s="3"/>
      <c r="P585" s="3"/>
      <c r="Q585" s="3"/>
      <c r="R585" s="3"/>
      <c r="S585" s="3"/>
    </row>
    <row r="586" spans="1:19" s="47" customFormat="1" ht="18.75" customHeight="1" x14ac:dyDescent="0.25">
      <c r="A586" s="511" t="s">
        <v>234</v>
      </c>
      <c r="B586" s="513" t="s">
        <v>144</v>
      </c>
      <c r="C586" s="116" t="s">
        <v>27</v>
      </c>
      <c r="D586" s="106">
        <v>771</v>
      </c>
      <c r="E586" s="92">
        <f>SUM(E587:E592)</f>
        <v>190596.53</v>
      </c>
      <c r="F586" s="92">
        <f t="shared" ref="F586:L586" si="102">SUM(F587:F592)</f>
        <v>133190.9</v>
      </c>
      <c r="G586" s="92">
        <f t="shared" si="102"/>
        <v>129696.28</v>
      </c>
      <c r="H586" s="92">
        <f t="shared" si="102"/>
        <v>136957.28</v>
      </c>
      <c r="I586" s="92">
        <f t="shared" si="102"/>
        <v>133196.28</v>
      </c>
      <c r="J586" s="92">
        <f t="shared" si="102"/>
        <v>133196.28</v>
      </c>
      <c r="K586" s="92">
        <f t="shared" si="102"/>
        <v>133196.28</v>
      </c>
      <c r="L586" s="92">
        <f t="shared" si="102"/>
        <v>133196.28</v>
      </c>
      <c r="M586" s="92">
        <f>SUM(E586:L586)</f>
        <v>1123226.1100000001</v>
      </c>
      <c r="N586" s="9"/>
      <c r="O586" s="3"/>
      <c r="P586" s="3"/>
      <c r="Q586" s="3"/>
      <c r="R586" s="3"/>
      <c r="S586" s="3"/>
    </row>
    <row r="587" spans="1:19" s="47" customFormat="1" ht="30" customHeight="1" x14ac:dyDescent="0.25">
      <c r="A587" s="398"/>
      <c r="B587" s="514"/>
      <c r="C587" s="97" t="s">
        <v>93</v>
      </c>
      <c r="D587" s="106"/>
      <c r="E587" s="72">
        <v>0</v>
      </c>
      <c r="F587" s="93">
        <v>0</v>
      </c>
      <c r="G587" s="93">
        <v>0</v>
      </c>
      <c r="H587" s="93">
        <v>0</v>
      </c>
      <c r="I587" s="93">
        <v>0</v>
      </c>
      <c r="J587" s="93">
        <v>0</v>
      </c>
      <c r="K587" s="93">
        <v>0</v>
      </c>
      <c r="L587" s="93">
        <v>0</v>
      </c>
      <c r="M587" s="93">
        <v>0</v>
      </c>
      <c r="N587" s="9"/>
      <c r="O587" s="3"/>
      <c r="P587" s="3"/>
      <c r="Q587" s="3"/>
      <c r="R587" s="3"/>
      <c r="S587" s="3"/>
    </row>
    <row r="588" spans="1:19" s="47" customFormat="1" ht="18.75" customHeight="1" x14ac:dyDescent="0.25">
      <c r="A588" s="398"/>
      <c r="B588" s="514"/>
      <c r="C588" s="97" t="s">
        <v>94</v>
      </c>
      <c r="D588" s="106">
        <v>771</v>
      </c>
      <c r="E588" s="93">
        <f>'Приложение 5'!H222</f>
        <v>190596.53</v>
      </c>
      <c r="F588" s="93">
        <f>'Приложение 5'!I223</f>
        <v>133190.9</v>
      </c>
      <c r="G588" s="93">
        <f>'Приложение 5'!J223</f>
        <v>129696.28</v>
      </c>
      <c r="H588" s="93">
        <f>'Приложение 5'!K224</f>
        <v>136957.28</v>
      </c>
      <c r="I588" s="93">
        <f>'Приложение 5'!L224</f>
        <v>133196.28</v>
      </c>
      <c r="J588" s="93">
        <f>'Приложение 5'!M224</f>
        <v>133196.28</v>
      </c>
      <c r="K588" s="93">
        <f>'Приложение 5'!N224</f>
        <v>133196.28</v>
      </c>
      <c r="L588" s="93">
        <f>'Приложение 5'!O224</f>
        <v>133196.28</v>
      </c>
      <c r="M588" s="93">
        <f>'Приложение 5'!P222</f>
        <v>1123226.1100000001</v>
      </c>
      <c r="N588" s="9"/>
      <c r="O588" s="3"/>
      <c r="P588" s="3"/>
      <c r="Q588" s="3"/>
      <c r="R588" s="3"/>
      <c r="S588" s="3"/>
    </row>
    <row r="589" spans="1:19" s="47" customFormat="1" ht="47.1" customHeight="1" x14ac:dyDescent="0.25">
      <c r="A589" s="398"/>
      <c r="B589" s="514"/>
      <c r="C589" s="97" t="s">
        <v>95</v>
      </c>
      <c r="D589" s="106"/>
      <c r="E589" s="93">
        <v>0</v>
      </c>
      <c r="F589" s="93">
        <v>0</v>
      </c>
      <c r="G589" s="93">
        <v>0</v>
      </c>
      <c r="H589" s="93">
        <v>0</v>
      </c>
      <c r="I589" s="93">
        <v>0</v>
      </c>
      <c r="J589" s="93">
        <v>0</v>
      </c>
      <c r="K589" s="93">
        <v>0</v>
      </c>
      <c r="L589" s="93">
        <v>0</v>
      </c>
      <c r="M589" s="93">
        <v>0</v>
      </c>
      <c r="N589" s="9"/>
      <c r="O589" s="3"/>
      <c r="P589" s="3"/>
      <c r="Q589" s="3"/>
      <c r="R589" s="3"/>
      <c r="S589" s="3"/>
    </row>
    <row r="590" spans="1:19" s="10" customFormat="1" ht="63" customHeight="1" x14ac:dyDescent="0.25">
      <c r="A590" s="398"/>
      <c r="B590" s="514"/>
      <c r="C590" s="97" t="s">
        <v>96</v>
      </c>
      <c r="D590" s="106"/>
      <c r="E590" s="93">
        <v>0</v>
      </c>
      <c r="F590" s="93">
        <v>0</v>
      </c>
      <c r="G590" s="93">
        <v>0</v>
      </c>
      <c r="H590" s="93">
        <v>0</v>
      </c>
      <c r="I590" s="93">
        <v>0</v>
      </c>
      <c r="J590" s="93">
        <v>0</v>
      </c>
      <c r="K590" s="93">
        <v>0</v>
      </c>
      <c r="L590" s="93">
        <v>0</v>
      </c>
      <c r="M590" s="93">
        <v>0</v>
      </c>
      <c r="N590" s="9"/>
      <c r="O590" s="3"/>
      <c r="P590" s="3"/>
      <c r="Q590" s="3"/>
      <c r="R590" s="3"/>
      <c r="S590" s="3"/>
    </row>
    <row r="591" spans="1:19" s="10" customFormat="1" ht="63.95" customHeight="1" x14ac:dyDescent="0.25">
      <c r="A591" s="398"/>
      <c r="B591" s="514"/>
      <c r="C591" s="97" t="s">
        <v>97</v>
      </c>
      <c r="D591" s="106"/>
      <c r="E591" s="93">
        <v>0</v>
      </c>
      <c r="F591" s="93">
        <v>0</v>
      </c>
      <c r="G591" s="93">
        <v>0</v>
      </c>
      <c r="H591" s="93">
        <v>0</v>
      </c>
      <c r="I591" s="93">
        <v>0</v>
      </c>
      <c r="J591" s="93">
        <v>0</v>
      </c>
      <c r="K591" s="93">
        <v>0</v>
      </c>
      <c r="L591" s="93">
        <v>0</v>
      </c>
      <c r="M591" s="93">
        <v>0</v>
      </c>
      <c r="N591" s="9"/>
      <c r="O591" s="3"/>
      <c r="P591" s="3"/>
      <c r="Q591" s="3"/>
      <c r="R591" s="3"/>
      <c r="S591" s="3"/>
    </row>
    <row r="592" spans="1:19" s="10" customFormat="1" ht="48" customHeight="1" x14ac:dyDescent="0.25">
      <c r="A592" s="512"/>
      <c r="B592" s="515"/>
      <c r="C592" s="97" t="s">
        <v>98</v>
      </c>
      <c r="D592" s="106"/>
      <c r="E592" s="93">
        <v>0</v>
      </c>
      <c r="F592" s="93">
        <v>0</v>
      </c>
      <c r="G592" s="93">
        <v>0</v>
      </c>
      <c r="H592" s="93">
        <v>0</v>
      </c>
      <c r="I592" s="93">
        <v>0</v>
      </c>
      <c r="J592" s="93">
        <v>0</v>
      </c>
      <c r="K592" s="93">
        <v>0</v>
      </c>
      <c r="L592" s="93">
        <v>0</v>
      </c>
      <c r="M592" s="93">
        <v>0</v>
      </c>
      <c r="N592" s="9"/>
      <c r="O592" s="3"/>
      <c r="P592" s="3"/>
      <c r="Q592" s="3"/>
      <c r="R592" s="3"/>
      <c r="S592" s="3"/>
    </row>
    <row r="593" spans="1:19" s="10" customFormat="1" ht="18.75" customHeight="1" x14ac:dyDescent="0.25">
      <c r="A593" s="511" t="s">
        <v>235</v>
      </c>
      <c r="B593" s="513" t="s">
        <v>79</v>
      </c>
      <c r="C593" s="116" t="s">
        <v>27</v>
      </c>
      <c r="D593" s="106">
        <v>771</v>
      </c>
      <c r="E593" s="92">
        <f>SUM(E594:E599)</f>
        <v>90914.8</v>
      </c>
      <c r="F593" s="92">
        <f t="shared" ref="F593:L593" si="103">SUM(F594:F599)</f>
        <v>189394.8</v>
      </c>
      <c r="G593" s="92">
        <f t="shared" si="103"/>
        <v>21771</v>
      </c>
      <c r="H593" s="92">
        <f t="shared" si="103"/>
        <v>19000</v>
      </c>
      <c r="I593" s="92">
        <f t="shared" si="103"/>
        <v>21771</v>
      </c>
      <c r="J593" s="92">
        <f t="shared" si="103"/>
        <v>21771</v>
      </c>
      <c r="K593" s="92">
        <f t="shared" si="103"/>
        <v>21771</v>
      </c>
      <c r="L593" s="92">
        <f t="shared" si="103"/>
        <v>21771</v>
      </c>
      <c r="M593" s="92">
        <f>SUM(E593:L593)</f>
        <v>408164.6</v>
      </c>
      <c r="N593" s="9"/>
      <c r="O593" s="3"/>
      <c r="P593" s="3"/>
      <c r="Q593" s="3"/>
      <c r="R593" s="3"/>
      <c r="S593" s="3"/>
    </row>
    <row r="594" spans="1:19" s="10" customFormat="1" ht="30" customHeight="1" x14ac:dyDescent="0.25">
      <c r="A594" s="398"/>
      <c r="B594" s="514"/>
      <c r="C594" s="97" t="s">
        <v>93</v>
      </c>
      <c r="D594" s="106"/>
      <c r="E594" s="72">
        <v>0</v>
      </c>
      <c r="F594" s="93">
        <v>0</v>
      </c>
      <c r="G594" s="93">
        <v>0</v>
      </c>
      <c r="H594" s="93">
        <v>0</v>
      </c>
      <c r="I594" s="93">
        <v>0</v>
      </c>
      <c r="J594" s="93">
        <v>0</v>
      </c>
      <c r="K594" s="93">
        <v>0</v>
      </c>
      <c r="L594" s="93">
        <v>0</v>
      </c>
      <c r="M594" s="93">
        <v>0</v>
      </c>
      <c r="N594" s="9"/>
      <c r="O594" s="3"/>
      <c r="P594" s="3"/>
      <c r="Q594" s="3"/>
      <c r="R594" s="3"/>
      <c r="S594" s="3"/>
    </row>
    <row r="595" spans="1:19" s="10" customFormat="1" ht="18.75" customHeight="1" x14ac:dyDescent="0.25">
      <c r="A595" s="398"/>
      <c r="B595" s="514"/>
      <c r="C595" s="97" t="s">
        <v>94</v>
      </c>
      <c r="D595" s="106">
        <v>771</v>
      </c>
      <c r="E595" s="93">
        <f>'Приложение 5'!H225</f>
        <v>90914.8</v>
      </c>
      <c r="F595" s="93">
        <f>'Приложение 5'!I226</f>
        <v>189394.8</v>
      </c>
      <c r="G595" s="93">
        <f>'Приложение 5'!J226</f>
        <v>21771</v>
      </c>
      <c r="H595" s="93">
        <f>'Приложение 5'!K227</f>
        <v>19000</v>
      </c>
      <c r="I595" s="93">
        <f>'Приложение 5'!L227</f>
        <v>21771</v>
      </c>
      <c r="J595" s="93">
        <f>'Приложение 5'!M227</f>
        <v>21771</v>
      </c>
      <c r="K595" s="93">
        <f>'Приложение 5'!N227</f>
        <v>21771</v>
      </c>
      <c r="L595" s="93">
        <f>'Приложение 5'!O227</f>
        <v>21771</v>
      </c>
      <c r="M595" s="93">
        <f>'Приложение 5'!P225</f>
        <v>408164.6</v>
      </c>
      <c r="N595" s="9"/>
      <c r="O595" s="3"/>
      <c r="P595" s="3"/>
      <c r="Q595" s="3"/>
      <c r="R595" s="3"/>
      <c r="S595" s="3"/>
    </row>
    <row r="596" spans="1:19" s="10" customFormat="1" ht="47.1" customHeight="1" x14ac:dyDescent="0.25">
      <c r="A596" s="398"/>
      <c r="B596" s="514"/>
      <c r="C596" s="97" t="s">
        <v>95</v>
      </c>
      <c r="D596" s="106"/>
      <c r="E596" s="93">
        <v>0</v>
      </c>
      <c r="F596" s="93">
        <v>0</v>
      </c>
      <c r="G596" s="93">
        <v>0</v>
      </c>
      <c r="H596" s="93">
        <v>0</v>
      </c>
      <c r="I596" s="93">
        <v>0</v>
      </c>
      <c r="J596" s="93">
        <v>0</v>
      </c>
      <c r="K596" s="93">
        <v>0</v>
      </c>
      <c r="L596" s="93">
        <v>0</v>
      </c>
      <c r="M596" s="93">
        <v>0</v>
      </c>
      <c r="N596" s="9"/>
      <c r="O596" s="3"/>
      <c r="P596" s="3"/>
      <c r="Q596" s="3"/>
      <c r="R596" s="3"/>
      <c r="S596" s="3"/>
    </row>
    <row r="597" spans="1:19" s="10" customFormat="1" ht="63" customHeight="1" x14ac:dyDescent="0.25">
      <c r="A597" s="398"/>
      <c r="B597" s="514"/>
      <c r="C597" s="97" t="s">
        <v>96</v>
      </c>
      <c r="D597" s="106"/>
      <c r="E597" s="93">
        <v>0</v>
      </c>
      <c r="F597" s="93">
        <v>0</v>
      </c>
      <c r="G597" s="93">
        <v>0</v>
      </c>
      <c r="H597" s="93">
        <v>0</v>
      </c>
      <c r="I597" s="93">
        <v>0</v>
      </c>
      <c r="J597" s="93">
        <v>0</v>
      </c>
      <c r="K597" s="93">
        <v>0</v>
      </c>
      <c r="L597" s="93">
        <v>0</v>
      </c>
      <c r="M597" s="93">
        <v>0</v>
      </c>
      <c r="N597" s="9"/>
      <c r="O597" s="3"/>
      <c r="P597" s="3"/>
      <c r="Q597" s="3"/>
      <c r="R597" s="3"/>
      <c r="S597" s="3"/>
    </row>
    <row r="598" spans="1:19" s="10" customFormat="1" ht="63.95" customHeight="1" x14ac:dyDescent="0.25">
      <c r="A598" s="398"/>
      <c r="B598" s="514"/>
      <c r="C598" s="97" t="s">
        <v>97</v>
      </c>
      <c r="D598" s="106"/>
      <c r="E598" s="93">
        <v>0</v>
      </c>
      <c r="F598" s="93">
        <v>0</v>
      </c>
      <c r="G598" s="93">
        <v>0</v>
      </c>
      <c r="H598" s="93">
        <v>0</v>
      </c>
      <c r="I598" s="93">
        <v>0</v>
      </c>
      <c r="J598" s="93">
        <v>0</v>
      </c>
      <c r="K598" s="93">
        <v>0</v>
      </c>
      <c r="L598" s="93">
        <v>0</v>
      </c>
      <c r="M598" s="93">
        <v>0</v>
      </c>
      <c r="N598" s="9"/>
      <c r="O598" s="3"/>
      <c r="P598" s="3"/>
      <c r="Q598" s="3"/>
      <c r="R598" s="3"/>
      <c r="S598" s="3"/>
    </row>
    <row r="599" spans="1:19" s="10" customFormat="1" ht="48" customHeight="1" x14ac:dyDescent="0.25">
      <c r="A599" s="512"/>
      <c r="B599" s="515"/>
      <c r="C599" s="97" t="s">
        <v>98</v>
      </c>
      <c r="D599" s="106"/>
      <c r="E599" s="93">
        <v>0</v>
      </c>
      <c r="F599" s="93">
        <v>0</v>
      </c>
      <c r="G599" s="93">
        <v>0</v>
      </c>
      <c r="H599" s="93">
        <v>0</v>
      </c>
      <c r="I599" s="93">
        <v>0</v>
      </c>
      <c r="J599" s="93">
        <v>0</v>
      </c>
      <c r="K599" s="93">
        <v>0</v>
      </c>
      <c r="L599" s="93">
        <v>0</v>
      </c>
      <c r="M599" s="93">
        <v>0</v>
      </c>
      <c r="N599" s="9"/>
      <c r="O599" s="3"/>
      <c r="P599" s="3"/>
      <c r="Q599" s="3"/>
      <c r="R599" s="3"/>
      <c r="S599" s="3"/>
    </row>
    <row r="600" spans="1:19" s="10" customFormat="1" ht="18.75" customHeight="1" x14ac:dyDescent="0.25">
      <c r="A600" s="511" t="s">
        <v>236</v>
      </c>
      <c r="B600" s="513" t="s">
        <v>380</v>
      </c>
      <c r="C600" s="116" t="s">
        <v>27</v>
      </c>
      <c r="D600" s="106">
        <v>771</v>
      </c>
      <c r="E600" s="92">
        <f>SUM(E601:E606)</f>
        <v>0</v>
      </c>
      <c r="F600" s="92">
        <f t="shared" ref="F600:L600" si="104">SUM(F601:F606)</f>
        <v>0</v>
      </c>
      <c r="G600" s="92">
        <f t="shared" si="104"/>
        <v>0</v>
      </c>
      <c r="H600" s="92">
        <f t="shared" si="104"/>
        <v>21143.64</v>
      </c>
      <c r="I600" s="92">
        <f t="shared" si="104"/>
        <v>19091.899999999998</v>
      </c>
      <c r="J600" s="92">
        <f t="shared" si="104"/>
        <v>19091.899999999998</v>
      </c>
      <c r="K600" s="92">
        <f t="shared" si="104"/>
        <v>19091.899999999998</v>
      </c>
      <c r="L600" s="92">
        <f t="shared" si="104"/>
        <v>19091.899999999998</v>
      </c>
      <c r="M600" s="92">
        <f>SUM(E600:L600)</f>
        <v>97511.239999999976</v>
      </c>
      <c r="N600" s="9"/>
      <c r="O600" s="3"/>
      <c r="P600" s="3"/>
      <c r="Q600" s="3"/>
      <c r="R600" s="3"/>
      <c r="S600" s="3"/>
    </row>
    <row r="601" spans="1:19" s="10" customFormat="1" ht="30" customHeight="1" x14ac:dyDescent="0.25">
      <c r="A601" s="398"/>
      <c r="B601" s="514"/>
      <c r="C601" s="97" t="s">
        <v>93</v>
      </c>
      <c r="D601" s="106"/>
      <c r="E601" s="72">
        <v>0</v>
      </c>
      <c r="F601" s="93">
        <v>0</v>
      </c>
      <c r="G601" s="93">
        <v>0</v>
      </c>
      <c r="H601" s="93">
        <v>0</v>
      </c>
      <c r="I601" s="93">
        <v>0</v>
      </c>
      <c r="J601" s="93">
        <v>0</v>
      </c>
      <c r="K601" s="93">
        <v>0</v>
      </c>
      <c r="L601" s="93">
        <v>0</v>
      </c>
      <c r="M601" s="93">
        <v>0</v>
      </c>
      <c r="N601" s="9"/>
      <c r="O601" s="3"/>
      <c r="P601" s="3"/>
      <c r="Q601" s="3"/>
      <c r="R601" s="3"/>
      <c r="S601" s="3"/>
    </row>
    <row r="602" spans="1:19" s="10" customFormat="1" ht="18.75" customHeight="1" x14ac:dyDescent="0.25">
      <c r="A602" s="398"/>
      <c r="B602" s="514"/>
      <c r="C602" s="97" t="s">
        <v>94</v>
      </c>
      <c r="D602" s="106">
        <v>771</v>
      </c>
      <c r="E602" s="93">
        <f>'Приложение 5'!H228+'Приложение 5'!H229+'Приложение 5'!H230+'Приложение 5'!H231</f>
        <v>0</v>
      </c>
      <c r="F602" s="93">
        <f>'Приложение 5'!I228+'Приложение 5'!I229+'Приложение 5'!I230+'Приложение 5'!I231</f>
        <v>0</v>
      </c>
      <c r="G602" s="93">
        <f>'Приложение 5'!J228+'Приложение 5'!J229+'Приложение 5'!J230+'Приложение 5'!J231</f>
        <v>0</v>
      </c>
      <c r="H602" s="93">
        <f>'Приложение 5'!K228+'Приложение 5'!K229+'Приложение 5'!K230+'Приложение 5'!K231</f>
        <v>21143.64</v>
      </c>
      <c r="I602" s="93">
        <f>'Приложение 5'!L228+'Приложение 5'!L229+'Приложение 5'!L230+'Приложение 5'!L231</f>
        <v>19091.899999999998</v>
      </c>
      <c r="J602" s="93">
        <f>'Приложение 5'!M228+'Приложение 5'!M229+'Приложение 5'!M230+'Приложение 5'!M231</f>
        <v>19091.899999999998</v>
      </c>
      <c r="K602" s="93">
        <f>'Приложение 5'!N228+'Приложение 5'!N229+'Приложение 5'!N230+'Приложение 5'!N231</f>
        <v>19091.899999999998</v>
      </c>
      <c r="L602" s="93">
        <f>'Приложение 5'!O228+'Приложение 5'!O229+'Приложение 5'!O230+'Приложение 5'!O231</f>
        <v>19091.899999999998</v>
      </c>
      <c r="M602" s="93">
        <f>'Приложение 5'!P228+'Приложение 5'!P229+'Приложение 5'!P230+'Приложение 5'!P231</f>
        <v>97511.239999999991</v>
      </c>
      <c r="N602" s="9"/>
      <c r="O602" s="3"/>
      <c r="P602" s="3"/>
      <c r="Q602" s="3"/>
      <c r="R602" s="3"/>
      <c r="S602" s="3"/>
    </row>
    <row r="603" spans="1:19" s="10" customFormat="1" ht="47.1" customHeight="1" x14ac:dyDescent="0.25">
      <c r="A603" s="398"/>
      <c r="B603" s="514"/>
      <c r="C603" s="97" t="s">
        <v>95</v>
      </c>
      <c r="D603" s="106"/>
      <c r="E603" s="93">
        <v>0</v>
      </c>
      <c r="F603" s="93">
        <v>0</v>
      </c>
      <c r="G603" s="93">
        <v>0</v>
      </c>
      <c r="H603" s="93">
        <v>0</v>
      </c>
      <c r="I603" s="93">
        <v>0</v>
      </c>
      <c r="J603" s="93">
        <v>0</v>
      </c>
      <c r="K603" s="93">
        <v>0</v>
      </c>
      <c r="L603" s="93">
        <v>0</v>
      </c>
      <c r="M603" s="93">
        <f>SUM(E603:L603)</f>
        <v>0</v>
      </c>
      <c r="N603" s="9"/>
      <c r="O603" s="3"/>
      <c r="P603" s="3"/>
      <c r="Q603" s="3"/>
      <c r="R603" s="3"/>
      <c r="S603" s="3"/>
    </row>
    <row r="604" spans="1:19" s="10" customFormat="1" ht="63" customHeight="1" x14ac:dyDescent="0.25">
      <c r="A604" s="398"/>
      <c r="B604" s="514"/>
      <c r="C604" s="97" t="s">
        <v>96</v>
      </c>
      <c r="D604" s="106"/>
      <c r="E604" s="93">
        <v>0</v>
      </c>
      <c r="F604" s="93">
        <v>0</v>
      </c>
      <c r="G604" s="93">
        <v>0</v>
      </c>
      <c r="H604" s="93">
        <v>0</v>
      </c>
      <c r="I604" s="93">
        <v>0</v>
      </c>
      <c r="J604" s="93">
        <v>0</v>
      </c>
      <c r="K604" s="93">
        <v>0</v>
      </c>
      <c r="L604" s="93">
        <v>0</v>
      </c>
      <c r="M604" s="93">
        <f>SUM(E604:L604)</f>
        <v>0</v>
      </c>
      <c r="N604" s="9"/>
      <c r="O604" s="3"/>
      <c r="P604" s="3"/>
      <c r="Q604" s="3"/>
      <c r="R604" s="3"/>
      <c r="S604" s="3"/>
    </row>
    <row r="605" spans="1:19" s="10" customFormat="1" ht="63.95" customHeight="1" x14ac:dyDescent="0.25">
      <c r="A605" s="398"/>
      <c r="B605" s="514"/>
      <c r="C605" s="97" t="s">
        <v>97</v>
      </c>
      <c r="D605" s="106"/>
      <c r="E605" s="93">
        <v>0</v>
      </c>
      <c r="F605" s="93">
        <v>0</v>
      </c>
      <c r="G605" s="93">
        <v>0</v>
      </c>
      <c r="H605" s="93">
        <v>0</v>
      </c>
      <c r="I605" s="93">
        <v>0</v>
      </c>
      <c r="J605" s="93">
        <v>0</v>
      </c>
      <c r="K605" s="93">
        <v>0</v>
      </c>
      <c r="L605" s="93">
        <v>0</v>
      </c>
      <c r="M605" s="93">
        <f>SUM(E605:L605)</f>
        <v>0</v>
      </c>
      <c r="N605" s="9"/>
      <c r="O605" s="3"/>
      <c r="P605" s="3"/>
      <c r="Q605" s="3"/>
      <c r="R605" s="3"/>
      <c r="S605" s="3"/>
    </row>
    <row r="606" spans="1:19" s="47" customFormat="1" ht="48" customHeight="1" x14ac:dyDescent="0.25">
      <c r="A606" s="512"/>
      <c r="B606" s="515"/>
      <c r="C606" s="97" t="s">
        <v>98</v>
      </c>
      <c r="D606" s="106"/>
      <c r="E606" s="93">
        <v>0</v>
      </c>
      <c r="F606" s="93">
        <v>0</v>
      </c>
      <c r="G606" s="93">
        <v>0</v>
      </c>
      <c r="H606" s="93">
        <v>0</v>
      </c>
      <c r="I606" s="93">
        <v>0</v>
      </c>
      <c r="J606" s="93">
        <v>0</v>
      </c>
      <c r="K606" s="93">
        <v>0</v>
      </c>
      <c r="L606" s="93">
        <v>0</v>
      </c>
      <c r="M606" s="93">
        <f>SUM(E606:L606)</f>
        <v>0</v>
      </c>
      <c r="N606" s="9"/>
      <c r="O606" s="3"/>
      <c r="P606" s="3"/>
      <c r="Q606" s="3"/>
      <c r="R606" s="3"/>
      <c r="S606" s="3"/>
    </row>
    <row r="607" spans="1:19" s="10" customFormat="1" ht="18.75" customHeight="1" x14ac:dyDescent="0.25">
      <c r="A607" s="511" t="s">
        <v>237</v>
      </c>
      <c r="B607" s="513" t="s">
        <v>253</v>
      </c>
      <c r="C607" s="116" t="s">
        <v>27</v>
      </c>
      <c r="D607" s="106">
        <v>771</v>
      </c>
      <c r="E607" s="92">
        <f>SUM(E608:E613)</f>
        <v>17597.27</v>
      </c>
      <c r="F607" s="92">
        <f t="shared" ref="F607:L607" si="105">SUM(F608:F613)</f>
        <v>24196.38</v>
      </c>
      <c r="G607" s="92">
        <f t="shared" si="105"/>
        <v>29927.7</v>
      </c>
      <c r="H607" s="92">
        <f t="shared" si="105"/>
        <v>22074.26</v>
      </c>
      <c r="I607" s="92">
        <f t="shared" si="105"/>
        <v>23352.7</v>
      </c>
      <c r="J607" s="92">
        <f t="shared" si="105"/>
        <v>23352.7</v>
      </c>
      <c r="K607" s="92">
        <f t="shared" si="105"/>
        <v>23352.7</v>
      </c>
      <c r="L607" s="92">
        <f t="shared" si="105"/>
        <v>23352.7</v>
      </c>
      <c r="M607" s="92">
        <f>SUM(E607:L607)</f>
        <v>187206.41000000003</v>
      </c>
      <c r="N607" s="9"/>
      <c r="O607" s="3"/>
      <c r="P607" s="3"/>
      <c r="Q607" s="3"/>
      <c r="R607" s="3"/>
      <c r="S607" s="3"/>
    </row>
    <row r="608" spans="1:19" s="10" customFormat="1" ht="30" customHeight="1" x14ac:dyDescent="0.25">
      <c r="A608" s="398"/>
      <c r="B608" s="514"/>
      <c r="C608" s="97" t="s">
        <v>93</v>
      </c>
      <c r="D608" s="106"/>
      <c r="E608" s="72">
        <v>0</v>
      </c>
      <c r="F608" s="93">
        <v>0</v>
      </c>
      <c r="G608" s="93">
        <v>0</v>
      </c>
      <c r="H608" s="93">
        <v>0</v>
      </c>
      <c r="I608" s="93">
        <v>0</v>
      </c>
      <c r="J608" s="93">
        <v>0</v>
      </c>
      <c r="K608" s="93">
        <v>0</v>
      </c>
      <c r="L608" s="93">
        <v>0</v>
      </c>
      <c r="M608" s="93">
        <v>0</v>
      </c>
      <c r="N608" s="9"/>
      <c r="O608" s="3"/>
      <c r="P608" s="3"/>
      <c r="Q608" s="3"/>
      <c r="R608" s="3"/>
      <c r="S608" s="3"/>
    </row>
    <row r="609" spans="1:19" s="50" customFormat="1" ht="18.75" customHeight="1" x14ac:dyDescent="0.25">
      <c r="A609" s="398"/>
      <c r="B609" s="514"/>
      <c r="C609" s="97" t="s">
        <v>94</v>
      </c>
      <c r="D609" s="106">
        <v>771</v>
      </c>
      <c r="E609" s="93">
        <f>'Приложение 5'!H232</f>
        <v>17597.27</v>
      </c>
      <c r="F609" s="93">
        <f>'Приложение 5'!I232</f>
        <v>24196.38</v>
      </c>
      <c r="G609" s="93">
        <f>'Приложение 5'!J232</f>
        <v>29927.7</v>
      </c>
      <c r="H609" s="93">
        <f>'Приложение 5'!K232</f>
        <v>22074.26</v>
      </c>
      <c r="I609" s="93">
        <f>'Приложение 5'!L232</f>
        <v>23352.7</v>
      </c>
      <c r="J609" s="93">
        <f>'Приложение 5'!M232</f>
        <v>23352.7</v>
      </c>
      <c r="K609" s="93">
        <f>'Приложение 5'!N232</f>
        <v>23352.7</v>
      </c>
      <c r="L609" s="93">
        <f>'Приложение 5'!O232</f>
        <v>23352.7</v>
      </c>
      <c r="M609" s="93">
        <f>'Приложение 5'!P232</f>
        <v>187206.41000000003</v>
      </c>
      <c r="N609" s="48"/>
      <c r="O609" s="49"/>
      <c r="P609" s="49"/>
      <c r="Q609" s="49"/>
      <c r="R609" s="49"/>
      <c r="S609" s="49"/>
    </row>
    <row r="610" spans="1:19" s="53" customFormat="1" ht="47.1" customHeight="1" x14ac:dyDescent="0.25">
      <c r="A610" s="398"/>
      <c r="B610" s="514"/>
      <c r="C610" s="97" t="s">
        <v>95</v>
      </c>
      <c r="D610" s="106"/>
      <c r="E610" s="93">
        <v>0</v>
      </c>
      <c r="F610" s="93">
        <v>0</v>
      </c>
      <c r="G610" s="93">
        <v>0</v>
      </c>
      <c r="H610" s="93">
        <v>0</v>
      </c>
      <c r="I610" s="93">
        <v>0</v>
      </c>
      <c r="J610" s="93">
        <v>0</v>
      </c>
      <c r="K610" s="93">
        <v>0</v>
      </c>
      <c r="L610" s="93">
        <v>0</v>
      </c>
      <c r="M610" s="93">
        <v>0</v>
      </c>
      <c r="N610" s="51"/>
      <c r="O610" s="52"/>
      <c r="P610" s="52"/>
      <c r="Q610" s="52"/>
      <c r="R610" s="52"/>
      <c r="S610" s="52"/>
    </row>
    <row r="611" spans="1:19" s="53" customFormat="1" ht="63" customHeight="1" x14ac:dyDescent="0.25">
      <c r="A611" s="398"/>
      <c r="B611" s="514"/>
      <c r="C611" s="97" t="s">
        <v>96</v>
      </c>
      <c r="D611" s="106"/>
      <c r="E611" s="93">
        <v>0</v>
      </c>
      <c r="F611" s="93">
        <v>0</v>
      </c>
      <c r="G611" s="93">
        <v>0</v>
      </c>
      <c r="H611" s="93">
        <v>0</v>
      </c>
      <c r="I611" s="93">
        <v>0</v>
      </c>
      <c r="J611" s="93">
        <v>0</v>
      </c>
      <c r="K611" s="93">
        <v>0</v>
      </c>
      <c r="L611" s="93">
        <v>0</v>
      </c>
      <c r="M611" s="93">
        <v>0</v>
      </c>
      <c r="N611" s="51"/>
      <c r="O611" s="52"/>
      <c r="P611" s="52"/>
      <c r="Q611" s="52"/>
      <c r="R611" s="52"/>
      <c r="S611" s="52"/>
    </row>
    <row r="612" spans="1:19" s="53" customFormat="1" ht="63.95" customHeight="1" x14ac:dyDescent="0.25">
      <c r="A612" s="398"/>
      <c r="B612" s="514"/>
      <c r="C612" s="97" t="s">
        <v>97</v>
      </c>
      <c r="D612" s="106"/>
      <c r="E612" s="93">
        <v>0</v>
      </c>
      <c r="F612" s="93">
        <v>0</v>
      </c>
      <c r="G612" s="93">
        <v>0</v>
      </c>
      <c r="H612" s="93">
        <v>0</v>
      </c>
      <c r="I612" s="93">
        <v>0</v>
      </c>
      <c r="J612" s="93">
        <v>0</v>
      </c>
      <c r="K612" s="93">
        <v>0</v>
      </c>
      <c r="L612" s="93">
        <v>0</v>
      </c>
      <c r="M612" s="93">
        <v>0</v>
      </c>
      <c r="N612" s="51"/>
      <c r="O612" s="52"/>
      <c r="P612" s="52"/>
      <c r="Q612" s="52"/>
      <c r="R612" s="52"/>
      <c r="S612" s="52"/>
    </row>
    <row r="613" spans="1:19" s="53" customFormat="1" ht="48" customHeight="1" x14ac:dyDescent="0.25">
      <c r="A613" s="512"/>
      <c r="B613" s="515"/>
      <c r="C613" s="97" t="s">
        <v>98</v>
      </c>
      <c r="D613" s="106"/>
      <c r="E613" s="93">
        <v>0</v>
      </c>
      <c r="F613" s="93">
        <v>0</v>
      </c>
      <c r="G613" s="93">
        <v>0</v>
      </c>
      <c r="H613" s="93">
        <v>0</v>
      </c>
      <c r="I613" s="93">
        <v>0</v>
      </c>
      <c r="J613" s="93">
        <v>0</v>
      </c>
      <c r="K613" s="93">
        <v>0</v>
      </c>
      <c r="L613" s="93">
        <v>0</v>
      </c>
      <c r="M613" s="93">
        <v>0</v>
      </c>
      <c r="N613" s="51"/>
      <c r="O613" s="52"/>
      <c r="P613" s="52"/>
      <c r="Q613" s="52"/>
      <c r="R613" s="52"/>
      <c r="S613" s="52"/>
    </row>
    <row r="614" spans="1:19" s="10" customFormat="1" ht="18.75" customHeight="1" x14ac:dyDescent="0.25">
      <c r="A614" s="511" t="s">
        <v>238</v>
      </c>
      <c r="B614" s="513" t="s">
        <v>146</v>
      </c>
      <c r="C614" s="116" t="s">
        <v>27</v>
      </c>
      <c r="D614" s="106">
        <v>771</v>
      </c>
      <c r="E614" s="92">
        <f>SUM(E615:E620)</f>
        <v>16172.27</v>
      </c>
      <c r="F614" s="92">
        <f t="shared" ref="F614:L614" si="106">SUM(F615:F620)</f>
        <v>22771.38</v>
      </c>
      <c r="G614" s="92">
        <f t="shared" si="106"/>
        <v>29502.7</v>
      </c>
      <c r="H614" s="92">
        <f t="shared" si="106"/>
        <v>21649.26</v>
      </c>
      <c r="I614" s="92">
        <f t="shared" si="106"/>
        <v>22927.7</v>
      </c>
      <c r="J614" s="92">
        <f t="shared" si="106"/>
        <v>22927.7</v>
      </c>
      <c r="K614" s="92">
        <f t="shared" si="106"/>
        <v>22927.7</v>
      </c>
      <c r="L614" s="92">
        <f t="shared" si="106"/>
        <v>22927.7</v>
      </c>
      <c r="M614" s="92">
        <f>SUM(E614:L614)</f>
        <v>181806.41000000003</v>
      </c>
      <c r="N614" s="9"/>
      <c r="O614" s="3"/>
      <c r="P614" s="3"/>
      <c r="Q614" s="3"/>
      <c r="R614" s="3"/>
      <c r="S614" s="3"/>
    </row>
    <row r="615" spans="1:19" s="10" customFormat="1" ht="30" customHeight="1" x14ac:dyDescent="0.25">
      <c r="A615" s="398"/>
      <c r="B615" s="514"/>
      <c r="C615" s="97" t="s">
        <v>93</v>
      </c>
      <c r="D615" s="106"/>
      <c r="E615" s="72">
        <v>0</v>
      </c>
      <c r="F615" s="93">
        <v>0</v>
      </c>
      <c r="G615" s="93">
        <v>0</v>
      </c>
      <c r="H615" s="93">
        <v>0</v>
      </c>
      <c r="I615" s="93">
        <v>0</v>
      </c>
      <c r="J615" s="93">
        <v>0</v>
      </c>
      <c r="K615" s="93">
        <v>0</v>
      </c>
      <c r="L615" s="93">
        <v>0</v>
      </c>
      <c r="M615" s="93">
        <v>0</v>
      </c>
      <c r="N615" s="9"/>
      <c r="O615" s="3"/>
      <c r="P615" s="3"/>
      <c r="Q615" s="3"/>
      <c r="R615" s="3"/>
      <c r="S615" s="3"/>
    </row>
    <row r="616" spans="1:19" s="10" customFormat="1" ht="18.75" customHeight="1" x14ac:dyDescent="0.25">
      <c r="A616" s="398"/>
      <c r="B616" s="514"/>
      <c r="C616" s="97" t="s">
        <v>94</v>
      </c>
      <c r="D616" s="106">
        <v>771</v>
      </c>
      <c r="E616" s="93">
        <f>'Приложение 5'!H233</f>
        <v>16172.27</v>
      </c>
      <c r="F616" s="93">
        <f>'Приложение 5'!I234</f>
        <v>22771.38</v>
      </c>
      <c r="G616" s="93">
        <f>'Приложение 5'!J234</f>
        <v>29502.7</v>
      </c>
      <c r="H616" s="93">
        <f>'Приложение 5'!K235</f>
        <v>21649.26</v>
      </c>
      <c r="I616" s="93">
        <f>'Приложение 5'!L235</f>
        <v>22927.7</v>
      </c>
      <c r="J616" s="93">
        <f>'Приложение 5'!M235</f>
        <v>22927.7</v>
      </c>
      <c r="K616" s="93">
        <f>'Приложение 5'!N235</f>
        <v>22927.7</v>
      </c>
      <c r="L616" s="93">
        <f>'Приложение 5'!O235</f>
        <v>22927.7</v>
      </c>
      <c r="M616" s="93">
        <f>'Приложение 5'!P233</f>
        <v>181806.41000000003</v>
      </c>
      <c r="N616" s="9"/>
      <c r="O616" s="3"/>
      <c r="P616" s="3"/>
      <c r="Q616" s="3"/>
      <c r="R616" s="3"/>
      <c r="S616" s="3"/>
    </row>
    <row r="617" spans="1:19" s="10" customFormat="1" ht="47.1" customHeight="1" x14ac:dyDescent="0.25">
      <c r="A617" s="398"/>
      <c r="B617" s="514"/>
      <c r="C617" s="97" t="s">
        <v>95</v>
      </c>
      <c r="D617" s="106"/>
      <c r="E617" s="93">
        <v>0</v>
      </c>
      <c r="F617" s="93">
        <v>0</v>
      </c>
      <c r="G617" s="93">
        <v>0</v>
      </c>
      <c r="H617" s="93">
        <v>0</v>
      </c>
      <c r="I617" s="93">
        <v>0</v>
      </c>
      <c r="J617" s="93">
        <v>0</v>
      </c>
      <c r="K617" s="93">
        <v>0</v>
      </c>
      <c r="L617" s="93">
        <v>0</v>
      </c>
      <c r="M617" s="93">
        <v>0</v>
      </c>
      <c r="N617" s="9"/>
      <c r="O617" s="3"/>
      <c r="P617" s="3"/>
      <c r="Q617" s="3"/>
      <c r="R617" s="3"/>
      <c r="S617" s="3"/>
    </row>
    <row r="618" spans="1:19" s="10" customFormat="1" ht="63" customHeight="1" x14ac:dyDescent="0.25">
      <c r="A618" s="398"/>
      <c r="B618" s="514"/>
      <c r="C618" s="97" t="s">
        <v>96</v>
      </c>
      <c r="D618" s="106"/>
      <c r="E618" s="93">
        <v>0</v>
      </c>
      <c r="F618" s="93">
        <v>0</v>
      </c>
      <c r="G618" s="93">
        <v>0</v>
      </c>
      <c r="H618" s="93">
        <v>0</v>
      </c>
      <c r="I618" s="93">
        <v>0</v>
      </c>
      <c r="J618" s="93">
        <v>0</v>
      </c>
      <c r="K618" s="93">
        <v>0</v>
      </c>
      <c r="L618" s="93">
        <v>0</v>
      </c>
      <c r="M618" s="93">
        <v>0</v>
      </c>
      <c r="N618" s="9"/>
      <c r="O618" s="3"/>
      <c r="P618" s="3"/>
      <c r="Q618" s="3"/>
      <c r="R618" s="3"/>
      <c r="S618" s="3"/>
    </row>
    <row r="619" spans="1:19" s="10" customFormat="1" ht="63.95" customHeight="1" x14ac:dyDescent="0.25">
      <c r="A619" s="398"/>
      <c r="B619" s="514"/>
      <c r="C619" s="97" t="s">
        <v>97</v>
      </c>
      <c r="D619" s="106"/>
      <c r="E619" s="93">
        <v>0</v>
      </c>
      <c r="F619" s="93">
        <v>0</v>
      </c>
      <c r="G619" s="93">
        <v>0</v>
      </c>
      <c r="H619" s="93">
        <v>0</v>
      </c>
      <c r="I619" s="93">
        <v>0</v>
      </c>
      <c r="J619" s="93">
        <v>0</v>
      </c>
      <c r="K619" s="93">
        <v>0</v>
      </c>
      <c r="L619" s="93">
        <v>0</v>
      </c>
      <c r="M619" s="93">
        <v>0</v>
      </c>
      <c r="N619" s="9"/>
      <c r="O619" s="3"/>
      <c r="P619" s="3"/>
      <c r="Q619" s="3"/>
      <c r="R619" s="3"/>
      <c r="S619" s="3"/>
    </row>
    <row r="620" spans="1:19" s="10" customFormat="1" ht="48" customHeight="1" x14ac:dyDescent="0.25">
      <c r="A620" s="512"/>
      <c r="B620" s="515"/>
      <c r="C620" s="97" t="s">
        <v>98</v>
      </c>
      <c r="D620" s="106"/>
      <c r="E620" s="93">
        <v>0</v>
      </c>
      <c r="F620" s="93">
        <v>0</v>
      </c>
      <c r="G620" s="93">
        <v>0</v>
      </c>
      <c r="H620" s="93">
        <v>0</v>
      </c>
      <c r="I620" s="93">
        <v>0</v>
      </c>
      <c r="J620" s="93">
        <v>0</v>
      </c>
      <c r="K620" s="93">
        <v>0</v>
      </c>
      <c r="L620" s="93">
        <v>0</v>
      </c>
      <c r="M620" s="93">
        <v>0</v>
      </c>
      <c r="N620" s="9"/>
      <c r="O620" s="3"/>
      <c r="P620" s="3"/>
      <c r="Q620" s="3"/>
      <c r="R620" s="3"/>
      <c r="S620" s="3"/>
    </row>
    <row r="621" spans="1:19" s="10" customFormat="1" ht="18.75" customHeight="1" x14ac:dyDescent="0.25">
      <c r="A621" s="511" t="s">
        <v>239</v>
      </c>
      <c r="B621" s="513" t="s">
        <v>80</v>
      </c>
      <c r="C621" s="116" t="s">
        <v>27</v>
      </c>
      <c r="D621" s="106">
        <v>771</v>
      </c>
      <c r="E621" s="92">
        <f>SUM(E622:E627)</f>
        <v>1425</v>
      </c>
      <c r="F621" s="92">
        <f t="shared" ref="F621:L621" si="107">SUM(F622:F627)</f>
        <v>1425</v>
      </c>
      <c r="G621" s="92">
        <f t="shared" si="107"/>
        <v>425</v>
      </c>
      <c r="H621" s="92">
        <f t="shared" si="107"/>
        <v>425</v>
      </c>
      <c r="I621" s="92">
        <f t="shared" si="107"/>
        <v>425</v>
      </c>
      <c r="J621" s="92">
        <f t="shared" si="107"/>
        <v>425</v>
      </c>
      <c r="K621" s="92">
        <f t="shared" si="107"/>
        <v>425</v>
      </c>
      <c r="L621" s="92">
        <f t="shared" si="107"/>
        <v>425</v>
      </c>
      <c r="M621" s="92">
        <f>SUM(E621:L621)</f>
        <v>5400</v>
      </c>
      <c r="N621" s="9"/>
      <c r="O621" s="3"/>
      <c r="P621" s="3"/>
      <c r="Q621" s="3"/>
      <c r="R621" s="3"/>
      <c r="S621" s="3"/>
    </row>
    <row r="622" spans="1:19" s="10" customFormat="1" ht="30" customHeight="1" x14ac:dyDescent="0.25">
      <c r="A622" s="398"/>
      <c r="B622" s="514"/>
      <c r="C622" s="97" t="s">
        <v>93</v>
      </c>
      <c r="D622" s="106"/>
      <c r="E622" s="72">
        <v>0</v>
      </c>
      <c r="F622" s="93">
        <v>0</v>
      </c>
      <c r="G622" s="93">
        <v>0</v>
      </c>
      <c r="H622" s="93">
        <v>0</v>
      </c>
      <c r="I622" s="93">
        <v>0</v>
      </c>
      <c r="J622" s="93">
        <v>0</v>
      </c>
      <c r="K622" s="93">
        <v>0</v>
      </c>
      <c r="L622" s="93">
        <v>0</v>
      </c>
      <c r="M622" s="93">
        <v>0</v>
      </c>
      <c r="N622" s="9"/>
      <c r="O622" s="3"/>
      <c r="P622" s="3"/>
      <c r="Q622" s="3"/>
      <c r="R622" s="3"/>
      <c r="S622" s="3"/>
    </row>
    <row r="623" spans="1:19" s="10" customFormat="1" ht="18.75" customHeight="1" x14ac:dyDescent="0.25">
      <c r="A623" s="398"/>
      <c r="B623" s="514"/>
      <c r="C623" s="97" t="s">
        <v>94</v>
      </c>
      <c r="D623" s="106">
        <v>771</v>
      </c>
      <c r="E623" s="93">
        <f>'Приложение 5'!H236</f>
        <v>1425</v>
      </c>
      <c r="F623" s="93">
        <f>'Приложение 5'!I237</f>
        <v>1425</v>
      </c>
      <c r="G623" s="93">
        <f>'Приложение 5'!J237</f>
        <v>425</v>
      </c>
      <c r="H623" s="93">
        <f>'Приложение 5'!K238</f>
        <v>425</v>
      </c>
      <c r="I623" s="93">
        <f>'Приложение 5'!L238</f>
        <v>425</v>
      </c>
      <c r="J623" s="93">
        <f>'Приложение 5'!M238</f>
        <v>425</v>
      </c>
      <c r="K623" s="93">
        <f>'Приложение 5'!N238</f>
        <v>425</v>
      </c>
      <c r="L623" s="93">
        <f>'Приложение 5'!O238</f>
        <v>425</v>
      </c>
      <c r="M623" s="93">
        <f>'Приложение 5'!P236</f>
        <v>5400</v>
      </c>
      <c r="N623" s="9"/>
      <c r="O623" s="3"/>
      <c r="P623" s="3"/>
      <c r="Q623" s="3"/>
      <c r="R623" s="3"/>
      <c r="S623" s="3"/>
    </row>
    <row r="624" spans="1:19" s="10" customFormat="1" ht="47.1" customHeight="1" x14ac:dyDescent="0.25">
      <c r="A624" s="398"/>
      <c r="B624" s="514"/>
      <c r="C624" s="97" t="s">
        <v>95</v>
      </c>
      <c r="D624" s="106"/>
      <c r="E624" s="93">
        <v>0</v>
      </c>
      <c r="F624" s="93">
        <v>0</v>
      </c>
      <c r="G624" s="93">
        <v>0</v>
      </c>
      <c r="H624" s="93">
        <v>0</v>
      </c>
      <c r="I624" s="93">
        <v>0</v>
      </c>
      <c r="J624" s="93">
        <v>0</v>
      </c>
      <c r="K624" s="93">
        <v>0</v>
      </c>
      <c r="L624" s="93">
        <v>0</v>
      </c>
      <c r="M624" s="93">
        <v>0</v>
      </c>
      <c r="N624" s="9"/>
      <c r="O624" s="3"/>
      <c r="P624" s="3"/>
      <c r="Q624" s="3"/>
      <c r="R624" s="3"/>
      <c r="S624" s="3"/>
    </row>
    <row r="625" spans="1:19" s="10" customFormat="1" ht="63" customHeight="1" x14ac:dyDescent="0.25">
      <c r="A625" s="398"/>
      <c r="B625" s="514"/>
      <c r="C625" s="97" t="s">
        <v>96</v>
      </c>
      <c r="D625" s="106"/>
      <c r="E625" s="93">
        <v>0</v>
      </c>
      <c r="F625" s="93">
        <v>0</v>
      </c>
      <c r="G625" s="93">
        <v>0</v>
      </c>
      <c r="H625" s="93">
        <v>0</v>
      </c>
      <c r="I625" s="93">
        <v>0</v>
      </c>
      <c r="J625" s="93">
        <v>0</v>
      </c>
      <c r="K625" s="93">
        <v>0</v>
      </c>
      <c r="L625" s="93">
        <v>0</v>
      </c>
      <c r="M625" s="93">
        <v>0</v>
      </c>
      <c r="N625" s="9"/>
      <c r="O625" s="3"/>
      <c r="P625" s="3"/>
      <c r="Q625" s="3"/>
      <c r="R625" s="3"/>
      <c r="S625" s="3"/>
    </row>
    <row r="626" spans="1:19" s="10" customFormat="1" ht="63.95" customHeight="1" x14ac:dyDescent="0.25">
      <c r="A626" s="398"/>
      <c r="B626" s="514"/>
      <c r="C626" s="97" t="s">
        <v>97</v>
      </c>
      <c r="D626" s="106"/>
      <c r="E626" s="93">
        <v>0</v>
      </c>
      <c r="F626" s="93">
        <v>0</v>
      </c>
      <c r="G626" s="93">
        <v>0</v>
      </c>
      <c r="H626" s="93">
        <v>0</v>
      </c>
      <c r="I626" s="93">
        <v>0</v>
      </c>
      <c r="J626" s="93">
        <v>0</v>
      </c>
      <c r="K626" s="93">
        <v>0</v>
      </c>
      <c r="L626" s="93">
        <v>0</v>
      </c>
      <c r="M626" s="93">
        <v>0</v>
      </c>
      <c r="N626" s="9"/>
      <c r="O626" s="3"/>
      <c r="P626" s="3"/>
      <c r="Q626" s="3"/>
      <c r="R626" s="3"/>
      <c r="S626" s="3"/>
    </row>
    <row r="627" spans="1:19" s="10" customFormat="1" ht="48" customHeight="1" x14ac:dyDescent="0.25">
      <c r="A627" s="512"/>
      <c r="B627" s="515"/>
      <c r="C627" s="97" t="s">
        <v>98</v>
      </c>
      <c r="D627" s="106"/>
      <c r="E627" s="93">
        <v>0</v>
      </c>
      <c r="F627" s="93">
        <v>0</v>
      </c>
      <c r="G627" s="93">
        <v>0</v>
      </c>
      <c r="H627" s="93">
        <v>0</v>
      </c>
      <c r="I627" s="93">
        <v>0</v>
      </c>
      <c r="J627" s="93">
        <v>0</v>
      </c>
      <c r="K627" s="93">
        <v>0</v>
      </c>
      <c r="L627" s="93">
        <v>0</v>
      </c>
      <c r="M627" s="93">
        <v>0</v>
      </c>
      <c r="N627" s="9"/>
      <c r="O627" s="3"/>
      <c r="P627" s="3"/>
      <c r="Q627" s="3"/>
      <c r="R627" s="3"/>
      <c r="S627" s="3"/>
    </row>
    <row r="628" spans="1:19" s="10" customFormat="1" ht="18.75" customHeight="1" x14ac:dyDescent="0.25">
      <c r="A628" s="548" t="s">
        <v>240</v>
      </c>
      <c r="B628" s="509" t="s">
        <v>273</v>
      </c>
      <c r="C628" s="116" t="s">
        <v>27</v>
      </c>
      <c r="D628" s="106">
        <v>771</v>
      </c>
      <c r="E628" s="92">
        <f>SUM(E629:E634)</f>
        <v>0</v>
      </c>
      <c r="F628" s="92">
        <f t="shared" ref="F628:L628" si="108">SUM(F629:F634)</f>
        <v>120</v>
      </c>
      <c r="G628" s="92">
        <f t="shared" si="108"/>
        <v>17128.09</v>
      </c>
      <c r="H628" s="92">
        <f t="shared" si="108"/>
        <v>0</v>
      </c>
      <c r="I628" s="92">
        <f t="shared" si="108"/>
        <v>0</v>
      </c>
      <c r="J628" s="92">
        <f t="shared" si="108"/>
        <v>0</v>
      </c>
      <c r="K628" s="92">
        <f t="shared" si="108"/>
        <v>0</v>
      </c>
      <c r="L628" s="92">
        <f t="shared" si="108"/>
        <v>0</v>
      </c>
      <c r="M628" s="92">
        <f t="shared" ref="M628" si="109">SUM(E628:L628)</f>
        <v>17248.09</v>
      </c>
      <c r="N628" s="9"/>
      <c r="O628" s="3"/>
      <c r="P628" s="3"/>
      <c r="Q628" s="3"/>
      <c r="R628" s="3"/>
      <c r="S628" s="3"/>
    </row>
    <row r="629" spans="1:19" s="10" customFormat="1" ht="30" customHeight="1" x14ac:dyDescent="0.25">
      <c r="A629" s="481"/>
      <c r="B629" s="449"/>
      <c r="C629" s="97" t="s">
        <v>93</v>
      </c>
      <c r="D629" s="106"/>
      <c r="E629" s="72">
        <v>0</v>
      </c>
      <c r="F629" s="93">
        <v>0</v>
      </c>
      <c r="G629" s="93">
        <v>0</v>
      </c>
      <c r="H629" s="93">
        <v>0</v>
      </c>
      <c r="I629" s="93">
        <v>0</v>
      </c>
      <c r="J629" s="93">
        <v>0</v>
      </c>
      <c r="K629" s="93">
        <v>0</v>
      </c>
      <c r="L629" s="93">
        <v>0</v>
      </c>
      <c r="M629" s="93">
        <v>0</v>
      </c>
      <c r="N629" s="9"/>
      <c r="O629" s="3"/>
      <c r="P629" s="3"/>
      <c r="Q629" s="3"/>
      <c r="R629" s="3"/>
      <c r="S629" s="3"/>
    </row>
    <row r="630" spans="1:19" s="10" customFormat="1" ht="18.75" customHeight="1" x14ac:dyDescent="0.25">
      <c r="A630" s="481"/>
      <c r="B630" s="449"/>
      <c r="C630" s="97" t="s">
        <v>94</v>
      </c>
      <c r="D630" s="106">
        <v>771</v>
      </c>
      <c r="E630" s="93">
        <f>'Приложение 5'!H239</f>
        <v>0</v>
      </c>
      <c r="F630" s="93">
        <f>'Приложение 5'!I239</f>
        <v>120</v>
      </c>
      <c r="G630" s="93">
        <f>'Приложение 5'!J239</f>
        <v>17128.09</v>
      </c>
      <c r="H630" s="93">
        <f>'Приложение 5'!K239</f>
        <v>0</v>
      </c>
      <c r="I630" s="93">
        <f>'Приложение 5'!L239</f>
        <v>0</v>
      </c>
      <c r="J630" s="93">
        <f>'Приложение 5'!M239</f>
        <v>0</v>
      </c>
      <c r="K630" s="93">
        <f>'Приложение 5'!N239</f>
        <v>0</v>
      </c>
      <c r="L630" s="93">
        <f>'Приложение 5'!O239</f>
        <v>0</v>
      </c>
      <c r="M630" s="93">
        <f>'Приложение 5'!P239</f>
        <v>17248.09</v>
      </c>
      <c r="N630" s="9"/>
      <c r="O630" s="3"/>
      <c r="P630" s="3"/>
      <c r="Q630" s="3"/>
      <c r="R630" s="3"/>
      <c r="S630" s="3"/>
    </row>
    <row r="631" spans="1:19" s="10" customFormat="1" ht="47.1" customHeight="1" x14ac:dyDescent="0.25">
      <c r="A631" s="481"/>
      <c r="B631" s="449"/>
      <c r="C631" s="97" t="s">
        <v>95</v>
      </c>
      <c r="D631" s="106"/>
      <c r="E631" s="93">
        <v>0</v>
      </c>
      <c r="F631" s="93">
        <v>0</v>
      </c>
      <c r="G631" s="93">
        <v>0</v>
      </c>
      <c r="H631" s="93">
        <v>0</v>
      </c>
      <c r="I631" s="93">
        <v>0</v>
      </c>
      <c r="J631" s="93">
        <v>0</v>
      </c>
      <c r="K631" s="93">
        <v>0</v>
      </c>
      <c r="L631" s="93">
        <v>0</v>
      </c>
      <c r="M631" s="93">
        <v>0</v>
      </c>
      <c r="N631" s="9"/>
      <c r="O631" s="3"/>
      <c r="P631" s="3"/>
      <c r="Q631" s="3"/>
      <c r="R631" s="3"/>
      <c r="S631" s="3"/>
    </row>
    <row r="632" spans="1:19" s="10" customFormat="1" ht="63" customHeight="1" x14ac:dyDescent="0.25">
      <c r="A632" s="481"/>
      <c r="B632" s="449"/>
      <c r="C632" s="97" t="s">
        <v>96</v>
      </c>
      <c r="D632" s="106"/>
      <c r="E632" s="93">
        <v>0</v>
      </c>
      <c r="F632" s="93">
        <v>0</v>
      </c>
      <c r="G632" s="93">
        <v>0</v>
      </c>
      <c r="H632" s="93">
        <v>0</v>
      </c>
      <c r="I632" s="93">
        <v>0</v>
      </c>
      <c r="J632" s="93">
        <v>0</v>
      </c>
      <c r="K632" s="93">
        <v>0</v>
      </c>
      <c r="L632" s="93">
        <v>0</v>
      </c>
      <c r="M632" s="93">
        <v>0</v>
      </c>
      <c r="N632" s="9"/>
      <c r="O632" s="3"/>
      <c r="P632" s="3"/>
      <c r="Q632" s="3"/>
      <c r="R632" s="3"/>
      <c r="S632" s="3"/>
    </row>
    <row r="633" spans="1:19" s="10" customFormat="1" ht="63.95" customHeight="1" x14ac:dyDescent="0.25">
      <c r="A633" s="481"/>
      <c r="B633" s="449"/>
      <c r="C633" s="97" t="s">
        <v>97</v>
      </c>
      <c r="D633" s="106"/>
      <c r="E633" s="93">
        <v>0</v>
      </c>
      <c r="F633" s="93">
        <v>0</v>
      </c>
      <c r="G633" s="93">
        <v>0</v>
      </c>
      <c r="H633" s="93">
        <v>0</v>
      </c>
      <c r="I633" s="93">
        <v>0</v>
      </c>
      <c r="J633" s="93">
        <v>0</v>
      </c>
      <c r="K633" s="93">
        <v>0</v>
      </c>
      <c r="L633" s="93">
        <v>0</v>
      </c>
      <c r="M633" s="93">
        <v>0</v>
      </c>
      <c r="N633" s="9"/>
      <c r="O633" s="3"/>
      <c r="P633" s="3"/>
      <c r="Q633" s="3"/>
      <c r="R633" s="3"/>
      <c r="S633" s="3"/>
    </row>
    <row r="634" spans="1:19" s="10" customFormat="1" ht="48" customHeight="1" x14ac:dyDescent="0.25">
      <c r="A634" s="549"/>
      <c r="B634" s="510"/>
      <c r="C634" s="97" t="s">
        <v>98</v>
      </c>
      <c r="D634" s="106"/>
      <c r="E634" s="93">
        <v>0</v>
      </c>
      <c r="F634" s="93">
        <v>0</v>
      </c>
      <c r="G634" s="93">
        <v>0</v>
      </c>
      <c r="H634" s="93">
        <v>0</v>
      </c>
      <c r="I634" s="93">
        <v>0</v>
      </c>
      <c r="J634" s="93">
        <v>0</v>
      </c>
      <c r="K634" s="93">
        <v>0</v>
      </c>
      <c r="L634" s="93">
        <v>0</v>
      </c>
      <c r="M634" s="93">
        <v>0</v>
      </c>
      <c r="N634" s="9"/>
      <c r="O634" s="3"/>
      <c r="P634" s="3"/>
      <c r="Q634" s="3"/>
      <c r="R634" s="3"/>
      <c r="S634" s="3"/>
    </row>
    <row r="635" spans="1:19" s="10" customFormat="1" ht="18.75" customHeight="1" x14ac:dyDescent="0.25">
      <c r="A635" s="504" t="s">
        <v>270</v>
      </c>
      <c r="B635" s="493" t="s">
        <v>334</v>
      </c>
      <c r="C635" s="116" t="s">
        <v>27</v>
      </c>
      <c r="D635" s="106">
        <v>771</v>
      </c>
      <c r="E635" s="92">
        <f>SUM(E636:E641)</f>
        <v>0</v>
      </c>
      <c r="F635" s="92">
        <f t="shared" ref="F635:L635" si="110">SUM(F636:F641)</f>
        <v>0</v>
      </c>
      <c r="G635" s="92">
        <f t="shared" si="110"/>
        <v>12318.09</v>
      </c>
      <c r="H635" s="92">
        <f t="shared" si="110"/>
        <v>0</v>
      </c>
      <c r="I635" s="92">
        <f t="shared" si="110"/>
        <v>0</v>
      </c>
      <c r="J635" s="92">
        <f t="shared" si="110"/>
        <v>0</v>
      </c>
      <c r="K635" s="92">
        <f t="shared" si="110"/>
        <v>0</v>
      </c>
      <c r="L635" s="92">
        <f t="shared" si="110"/>
        <v>0</v>
      </c>
      <c r="M635" s="92">
        <f t="shared" ref="M635" si="111">SUM(E635:L635)</f>
        <v>12318.09</v>
      </c>
      <c r="N635" s="9"/>
      <c r="O635" s="3"/>
      <c r="P635" s="3"/>
      <c r="Q635" s="3"/>
      <c r="R635" s="3"/>
      <c r="S635" s="3"/>
    </row>
    <row r="636" spans="1:19" s="10" customFormat="1" ht="30" customHeight="1" x14ac:dyDescent="0.25">
      <c r="A636" s="467"/>
      <c r="B636" s="393"/>
      <c r="C636" s="97" t="s">
        <v>93</v>
      </c>
      <c r="D636" s="106"/>
      <c r="E636" s="72">
        <v>0</v>
      </c>
      <c r="F636" s="93">
        <v>0</v>
      </c>
      <c r="G636" s="93">
        <v>0</v>
      </c>
      <c r="H636" s="93">
        <v>0</v>
      </c>
      <c r="I636" s="93">
        <v>0</v>
      </c>
      <c r="J636" s="93">
        <v>0</v>
      </c>
      <c r="K636" s="93">
        <v>0</v>
      </c>
      <c r="L636" s="93">
        <v>0</v>
      </c>
      <c r="M636" s="93">
        <v>0</v>
      </c>
      <c r="N636" s="9"/>
      <c r="O636" s="3"/>
      <c r="P636" s="3"/>
      <c r="Q636" s="3"/>
      <c r="R636" s="3"/>
      <c r="S636" s="3"/>
    </row>
    <row r="637" spans="1:19" s="10" customFormat="1" ht="18.75" customHeight="1" x14ac:dyDescent="0.25">
      <c r="A637" s="467"/>
      <c r="B637" s="393"/>
      <c r="C637" s="97" t="s">
        <v>94</v>
      </c>
      <c r="D637" s="106">
        <v>771</v>
      </c>
      <c r="E637" s="93">
        <f>'Приложение 5'!H240</f>
        <v>0</v>
      </c>
      <c r="F637" s="93">
        <f>'Приложение 5'!I240</f>
        <v>0</v>
      </c>
      <c r="G637" s="93">
        <f>'Приложение 5'!J240</f>
        <v>12318.09</v>
      </c>
      <c r="H637" s="93">
        <f>'Приложение 5'!K240</f>
        <v>0</v>
      </c>
      <c r="I637" s="93">
        <f>'Приложение 5'!L240</f>
        <v>0</v>
      </c>
      <c r="J637" s="93">
        <f>'Приложение 5'!M240</f>
        <v>0</v>
      </c>
      <c r="K637" s="93">
        <f>'Приложение 5'!N240</f>
        <v>0</v>
      </c>
      <c r="L637" s="93">
        <f>'Приложение 5'!O240</f>
        <v>0</v>
      </c>
      <c r="M637" s="93">
        <f>'Приложение 5'!P240</f>
        <v>12318.09</v>
      </c>
      <c r="N637" s="9"/>
      <c r="O637" s="3"/>
      <c r="P637" s="3"/>
      <c r="Q637" s="3"/>
      <c r="R637" s="3"/>
      <c r="S637" s="3"/>
    </row>
    <row r="638" spans="1:19" s="10" customFormat="1" ht="47.1" customHeight="1" x14ac:dyDescent="0.25">
      <c r="A638" s="467"/>
      <c r="B638" s="393"/>
      <c r="C638" s="97" t="s">
        <v>95</v>
      </c>
      <c r="D638" s="106"/>
      <c r="E638" s="93">
        <v>0</v>
      </c>
      <c r="F638" s="93">
        <v>0</v>
      </c>
      <c r="G638" s="93">
        <v>0</v>
      </c>
      <c r="H638" s="93">
        <v>0</v>
      </c>
      <c r="I638" s="93">
        <v>0</v>
      </c>
      <c r="J638" s="93">
        <v>0</v>
      </c>
      <c r="K638" s="93">
        <v>0</v>
      </c>
      <c r="L638" s="93">
        <v>0</v>
      </c>
      <c r="M638" s="93">
        <v>0</v>
      </c>
      <c r="N638" s="9"/>
      <c r="O638" s="3"/>
      <c r="P638" s="3"/>
      <c r="Q638" s="3"/>
      <c r="R638" s="3"/>
      <c r="S638" s="3"/>
    </row>
    <row r="639" spans="1:19" s="10" customFormat="1" ht="63" customHeight="1" x14ac:dyDescent="0.25">
      <c r="A639" s="467"/>
      <c r="B639" s="393"/>
      <c r="C639" s="97" t="s">
        <v>96</v>
      </c>
      <c r="D639" s="106"/>
      <c r="E639" s="93">
        <v>0</v>
      </c>
      <c r="F639" s="93">
        <v>0</v>
      </c>
      <c r="G639" s="93">
        <v>0</v>
      </c>
      <c r="H639" s="93">
        <v>0</v>
      </c>
      <c r="I639" s="93">
        <v>0</v>
      </c>
      <c r="J639" s="93">
        <v>0</v>
      </c>
      <c r="K639" s="93">
        <v>0</v>
      </c>
      <c r="L639" s="93">
        <v>0</v>
      </c>
      <c r="M639" s="93">
        <v>0</v>
      </c>
      <c r="N639" s="9"/>
      <c r="O639" s="3"/>
      <c r="P639" s="3"/>
      <c r="Q639" s="3"/>
      <c r="R639" s="3"/>
      <c r="S639" s="3"/>
    </row>
    <row r="640" spans="1:19" s="10" customFormat="1" ht="63.95" customHeight="1" x14ac:dyDescent="0.25">
      <c r="A640" s="467"/>
      <c r="B640" s="393"/>
      <c r="C640" s="97" t="s">
        <v>97</v>
      </c>
      <c r="D640" s="106"/>
      <c r="E640" s="93">
        <v>0</v>
      </c>
      <c r="F640" s="93">
        <v>0</v>
      </c>
      <c r="G640" s="93">
        <v>0</v>
      </c>
      <c r="H640" s="93">
        <v>0</v>
      </c>
      <c r="I640" s="93">
        <v>0</v>
      </c>
      <c r="J640" s="93">
        <v>0</v>
      </c>
      <c r="K640" s="93">
        <v>0</v>
      </c>
      <c r="L640" s="93">
        <v>0</v>
      </c>
      <c r="M640" s="93">
        <v>0</v>
      </c>
      <c r="N640" s="9"/>
      <c r="O640" s="3"/>
      <c r="P640" s="3"/>
      <c r="Q640" s="3"/>
      <c r="R640" s="3"/>
      <c r="S640" s="3"/>
    </row>
    <row r="641" spans="1:19" s="10" customFormat="1" ht="48" customHeight="1" x14ac:dyDescent="0.25">
      <c r="A641" s="505"/>
      <c r="B641" s="506"/>
      <c r="C641" s="97" t="s">
        <v>98</v>
      </c>
      <c r="D641" s="106"/>
      <c r="E641" s="93">
        <v>0</v>
      </c>
      <c r="F641" s="93">
        <v>0</v>
      </c>
      <c r="G641" s="93">
        <v>0</v>
      </c>
      <c r="H641" s="93">
        <v>0</v>
      </c>
      <c r="I641" s="93">
        <v>0</v>
      </c>
      <c r="J641" s="93">
        <v>0</v>
      </c>
      <c r="K641" s="93">
        <v>0</v>
      </c>
      <c r="L641" s="93">
        <v>0</v>
      </c>
      <c r="M641" s="93">
        <v>0</v>
      </c>
      <c r="N641" s="9"/>
      <c r="O641" s="3"/>
      <c r="P641" s="3"/>
      <c r="Q641" s="3"/>
      <c r="R641" s="3"/>
      <c r="S641" s="3"/>
    </row>
    <row r="642" spans="1:19" s="10" customFormat="1" ht="18.75" customHeight="1" x14ac:dyDescent="0.25">
      <c r="A642" s="504" t="s">
        <v>271</v>
      </c>
      <c r="B642" s="493" t="s">
        <v>392</v>
      </c>
      <c r="C642" s="116" t="s">
        <v>27</v>
      </c>
      <c r="D642" s="106">
        <v>771</v>
      </c>
      <c r="E642" s="92">
        <f>SUM(E643:E648)</f>
        <v>0</v>
      </c>
      <c r="F642" s="92">
        <f t="shared" ref="F642:L642" si="112">SUM(F643:F648)</f>
        <v>0</v>
      </c>
      <c r="G642" s="92">
        <f t="shared" si="112"/>
        <v>4810</v>
      </c>
      <c r="H642" s="92">
        <f t="shared" si="112"/>
        <v>0</v>
      </c>
      <c r="I642" s="92">
        <f t="shared" si="112"/>
        <v>0</v>
      </c>
      <c r="J642" s="92">
        <f t="shared" si="112"/>
        <v>0</v>
      </c>
      <c r="K642" s="92">
        <f t="shared" si="112"/>
        <v>0</v>
      </c>
      <c r="L642" s="92">
        <f t="shared" si="112"/>
        <v>0</v>
      </c>
      <c r="M642" s="92">
        <f t="shared" ref="M642" si="113">SUM(E642:L642)</f>
        <v>4810</v>
      </c>
      <c r="N642" s="9"/>
      <c r="O642" s="3"/>
      <c r="P642" s="3"/>
      <c r="Q642" s="3"/>
      <c r="R642" s="3"/>
      <c r="S642" s="3"/>
    </row>
    <row r="643" spans="1:19" s="10" customFormat="1" ht="30" customHeight="1" x14ac:dyDescent="0.25">
      <c r="A643" s="467"/>
      <c r="B643" s="393"/>
      <c r="C643" s="97" t="s">
        <v>93</v>
      </c>
      <c r="D643" s="106"/>
      <c r="E643" s="72">
        <v>0</v>
      </c>
      <c r="F643" s="93">
        <v>0</v>
      </c>
      <c r="G643" s="93">
        <v>0</v>
      </c>
      <c r="H643" s="93">
        <v>0</v>
      </c>
      <c r="I643" s="93">
        <v>0</v>
      </c>
      <c r="J643" s="93">
        <v>0</v>
      </c>
      <c r="K643" s="93">
        <v>0</v>
      </c>
      <c r="L643" s="93">
        <v>0</v>
      </c>
      <c r="M643" s="93">
        <v>0</v>
      </c>
      <c r="N643" s="9"/>
      <c r="O643" s="3"/>
      <c r="P643" s="3"/>
      <c r="Q643" s="3"/>
      <c r="R643" s="3"/>
      <c r="S643" s="3"/>
    </row>
    <row r="644" spans="1:19" s="10" customFormat="1" ht="18.75" customHeight="1" x14ac:dyDescent="0.25">
      <c r="A644" s="467"/>
      <c r="B644" s="393"/>
      <c r="C644" s="97" t="s">
        <v>94</v>
      </c>
      <c r="D644" s="106">
        <v>771</v>
      </c>
      <c r="E644" s="93">
        <f>'Приложение 5'!H241</f>
        <v>0</v>
      </c>
      <c r="F644" s="93">
        <f>'Приложение 5'!I241</f>
        <v>0</v>
      </c>
      <c r="G644" s="93">
        <f>'Приложение 5'!J241</f>
        <v>4810</v>
      </c>
      <c r="H644" s="93">
        <f>'Приложение 5'!K241</f>
        <v>0</v>
      </c>
      <c r="I644" s="93">
        <f>'Приложение 5'!L241</f>
        <v>0</v>
      </c>
      <c r="J644" s="93">
        <f>'Приложение 5'!M241</f>
        <v>0</v>
      </c>
      <c r="K644" s="93">
        <f>'Приложение 5'!N241</f>
        <v>0</v>
      </c>
      <c r="L644" s="93">
        <f>'Приложение 5'!O241</f>
        <v>0</v>
      </c>
      <c r="M644" s="93">
        <f>'Приложение 5'!P241</f>
        <v>4810</v>
      </c>
      <c r="N644" s="9"/>
      <c r="O644" s="3"/>
      <c r="P644" s="3"/>
      <c r="Q644" s="3"/>
      <c r="R644" s="3"/>
      <c r="S644" s="3"/>
    </row>
    <row r="645" spans="1:19" s="10" customFormat="1" ht="47.1" customHeight="1" x14ac:dyDescent="0.25">
      <c r="A645" s="467"/>
      <c r="B645" s="393"/>
      <c r="C645" s="97" t="s">
        <v>95</v>
      </c>
      <c r="D645" s="106"/>
      <c r="E645" s="93">
        <v>0</v>
      </c>
      <c r="F645" s="93">
        <v>0</v>
      </c>
      <c r="G645" s="93">
        <v>0</v>
      </c>
      <c r="H645" s="93">
        <v>0</v>
      </c>
      <c r="I645" s="93">
        <v>0</v>
      </c>
      <c r="J645" s="93">
        <v>0</v>
      </c>
      <c r="K645" s="93">
        <v>0</v>
      </c>
      <c r="L645" s="93">
        <v>0</v>
      </c>
      <c r="M645" s="93">
        <v>0</v>
      </c>
      <c r="N645" s="9"/>
      <c r="O645" s="3"/>
      <c r="P645" s="3"/>
      <c r="Q645" s="3"/>
      <c r="R645" s="3"/>
      <c r="S645" s="3"/>
    </row>
    <row r="646" spans="1:19" s="10" customFormat="1" ht="60" x14ac:dyDescent="0.25">
      <c r="A646" s="467"/>
      <c r="B646" s="393"/>
      <c r="C646" s="97" t="s">
        <v>96</v>
      </c>
      <c r="D646" s="106"/>
      <c r="E646" s="93">
        <v>0</v>
      </c>
      <c r="F646" s="93">
        <v>0</v>
      </c>
      <c r="G646" s="93">
        <v>0</v>
      </c>
      <c r="H646" s="93">
        <v>0</v>
      </c>
      <c r="I646" s="93">
        <v>0</v>
      </c>
      <c r="J646" s="93">
        <v>0</v>
      </c>
      <c r="K646" s="93">
        <v>0</v>
      </c>
      <c r="L646" s="93">
        <v>0</v>
      </c>
      <c r="M646" s="93">
        <v>0</v>
      </c>
      <c r="N646" s="9"/>
      <c r="O646" s="3"/>
      <c r="P646" s="3"/>
      <c r="Q646" s="3"/>
      <c r="R646" s="3"/>
      <c r="S646" s="3"/>
    </row>
    <row r="647" spans="1:19" s="10" customFormat="1" ht="63.95" customHeight="1" x14ac:dyDescent="0.25">
      <c r="A647" s="467"/>
      <c r="B647" s="393"/>
      <c r="C647" s="97" t="s">
        <v>97</v>
      </c>
      <c r="D647" s="106"/>
      <c r="E647" s="93">
        <v>0</v>
      </c>
      <c r="F647" s="93">
        <v>0</v>
      </c>
      <c r="G647" s="93">
        <v>0</v>
      </c>
      <c r="H647" s="93">
        <v>0</v>
      </c>
      <c r="I647" s="93">
        <v>0</v>
      </c>
      <c r="J647" s="93">
        <v>0</v>
      </c>
      <c r="K647" s="93">
        <v>0</v>
      </c>
      <c r="L647" s="93">
        <v>0</v>
      </c>
      <c r="M647" s="93">
        <v>0</v>
      </c>
      <c r="N647" s="9"/>
      <c r="O647" s="3"/>
      <c r="P647" s="3"/>
      <c r="Q647" s="3"/>
      <c r="R647" s="3"/>
      <c r="S647" s="3"/>
    </row>
    <row r="648" spans="1:19" s="10" customFormat="1" ht="48" customHeight="1" x14ac:dyDescent="0.25">
      <c r="A648" s="505"/>
      <c r="B648" s="506"/>
      <c r="C648" s="97" t="s">
        <v>98</v>
      </c>
      <c r="D648" s="106"/>
      <c r="E648" s="93">
        <v>0</v>
      </c>
      <c r="F648" s="93">
        <v>0</v>
      </c>
      <c r="G648" s="93">
        <v>0</v>
      </c>
      <c r="H648" s="93">
        <v>0</v>
      </c>
      <c r="I648" s="93">
        <v>0</v>
      </c>
      <c r="J648" s="93">
        <v>0</v>
      </c>
      <c r="K648" s="93">
        <v>0</v>
      </c>
      <c r="L648" s="93">
        <v>0</v>
      </c>
      <c r="M648" s="93">
        <v>0</v>
      </c>
      <c r="N648" s="9"/>
      <c r="O648" s="3"/>
      <c r="P648" s="3"/>
      <c r="Q648" s="3"/>
      <c r="R648" s="3"/>
      <c r="S648" s="3"/>
    </row>
    <row r="649" spans="1:19" s="10" customFormat="1" ht="18.75" customHeight="1" x14ac:dyDescent="0.25">
      <c r="A649" s="504" t="s">
        <v>272</v>
      </c>
      <c r="B649" s="493" t="s">
        <v>136</v>
      </c>
      <c r="C649" s="116" t="s">
        <v>27</v>
      </c>
      <c r="D649" s="106">
        <v>771</v>
      </c>
      <c r="E649" s="92">
        <f>SUM(E650:E655)</f>
        <v>0</v>
      </c>
      <c r="F649" s="92">
        <f t="shared" ref="F649:L649" si="114">SUM(F650:F655)</f>
        <v>120</v>
      </c>
      <c r="G649" s="92">
        <f t="shared" si="114"/>
        <v>0</v>
      </c>
      <c r="H649" s="92">
        <f t="shared" si="114"/>
        <v>0</v>
      </c>
      <c r="I649" s="92">
        <f t="shared" si="114"/>
        <v>0</v>
      </c>
      <c r="J649" s="92">
        <f t="shared" si="114"/>
        <v>0</v>
      </c>
      <c r="K649" s="92">
        <f t="shared" si="114"/>
        <v>0</v>
      </c>
      <c r="L649" s="92">
        <f t="shared" si="114"/>
        <v>0</v>
      </c>
      <c r="M649" s="92">
        <f t="shared" ref="M649" si="115">SUM(E649:L649)</f>
        <v>120</v>
      </c>
      <c r="N649" s="9"/>
      <c r="O649" s="3"/>
      <c r="P649" s="3"/>
      <c r="Q649" s="3"/>
      <c r="R649" s="3"/>
      <c r="S649" s="3"/>
    </row>
    <row r="650" spans="1:19" s="10" customFormat="1" ht="30" customHeight="1" x14ac:dyDescent="0.25">
      <c r="A650" s="467"/>
      <c r="B650" s="393"/>
      <c r="C650" s="97" t="s">
        <v>93</v>
      </c>
      <c r="D650" s="106"/>
      <c r="E650" s="72">
        <v>0</v>
      </c>
      <c r="F650" s="93">
        <v>0</v>
      </c>
      <c r="G650" s="93">
        <v>0</v>
      </c>
      <c r="H650" s="93">
        <v>0</v>
      </c>
      <c r="I650" s="93">
        <v>0</v>
      </c>
      <c r="J650" s="93">
        <v>0</v>
      </c>
      <c r="K650" s="93">
        <v>0</v>
      </c>
      <c r="L650" s="93">
        <v>0</v>
      </c>
      <c r="M650" s="93">
        <v>0</v>
      </c>
      <c r="N650" s="9"/>
      <c r="O650" s="3"/>
      <c r="P650" s="3"/>
      <c r="Q650" s="3"/>
      <c r="R650" s="3"/>
      <c r="S650" s="3"/>
    </row>
    <row r="651" spans="1:19" s="10" customFormat="1" ht="18.75" customHeight="1" x14ac:dyDescent="0.25">
      <c r="A651" s="467"/>
      <c r="B651" s="393"/>
      <c r="C651" s="97" t="s">
        <v>94</v>
      </c>
      <c r="D651" s="106">
        <v>771</v>
      </c>
      <c r="E651" s="93">
        <f>'Приложение 5'!H242</f>
        <v>0</v>
      </c>
      <c r="F651" s="93">
        <f>'Приложение 5'!I242</f>
        <v>120</v>
      </c>
      <c r="G651" s="93">
        <f>'Приложение 5'!J242</f>
        <v>0</v>
      </c>
      <c r="H651" s="93">
        <f>'Приложение 5'!K242</f>
        <v>0</v>
      </c>
      <c r="I651" s="93">
        <f>'Приложение 5'!L242</f>
        <v>0</v>
      </c>
      <c r="J651" s="93">
        <f>'Приложение 5'!M242</f>
        <v>0</v>
      </c>
      <c r="K651" s="93">
        <f>'Приложение 5'!N242</f>
        <v>0</v>
      </c>
      <c r="L651" s="93">
        <f>'Приложение 5'!O242</f>
        <v>0</v>
      </c>
      <c r="M651" s="93">
        <f>'Приложение 5'!P242</f>
        <v>120</v>
      </c>
      <c r="N651" s="9"/>
      <c r="O651" s="3"/>
      <c r="P651" s="3"/>
      <c r="Q651" s="3"/>
      <c r="R651" s="3"/>
      <c r="S651" s="3"/>
    </row>
    <row r="652" spans="1:19" s="10" customFormat="1" ht="47.1" customHeight="1" x14ac:dyDescent="0.25">
      <c r="A652" s="467"/>
      <c r="B652" s="393"/>
      <c r="C652" s="97" t="s">
        <v>95</v>
      </c>
      <c r="D652" s="106"/>
      <c r="E652" s="93">
        <v>0</v>
      </c>
      <c r="F652" s="93">
        <v>0</v>
      </c>
      <c r="G652" s="93">
        <v>0</v>
      </c>
      <c r="H652" s="93">
        <v>0</v>
      </c>
      <c r="I652" s="93">
        <v>0</v>
      </c>
      <c r="J652" s="93">
        <v>0</v>
      </c>
      <c r="K652" s="93">
        <v>0</v>
      </c>
      <c r="L652" s="93">
        <v>0</v>
      </c>
      <c r="M652" s="93">
        <v>0</v>
      </c>
      <c r="N652" s="9"/>
      <c r="O652" s="3"/>
      <c r="P652" s="3"/>
      <c r="Q652" s="3"/>
      <c r="R652" s="3"/>
      <c r="S652" s="3"/>
    </row>
    <row r="653" spans="1:19" s="10" customFormat="1" ht="63" customHeight="1" x14ac:dyDescent="0.25">
      <c r="A653" s="467"/>
      <c r="B653" s="393"/>
      <c r="C653" s="97" t="s">
        <v>96</v>
      </c>
      <c r="D653" s="106"/>
      <c r="E653" s="93">
        <v>0</v>
      </c>
      <c r="F653" s="93">
        <v>0</v>
      </c>
      <c r="G653" s="93">
        <v>0</v>
      </c>
      <c r="H653" s="93">
        <v>0</v>
      </c>
      <c r="I653" s="93">
        <v>0</v>
      </c>
      <c r="J653" s="93">
        <v>0</v>
      </c>
      <c r="K653" s="93">
        <v>0</v>
      </c>
      <c r="L653" s="93">
        <v>0</v>
      </c>
      <c r="M653" s="93">
        <v>0</v>
      </c>
      <c r="N653" s="9"/>
      <c r="O653" s="3"/>
      <c r="P653" s="3"/>
      <c r="Q653" s="3"/>
      <c r="R653" s="3"/>
      <c r="S653" s="3"/>
    </row>
    <row r="654" spans="1:19" s="10" customFormat="1" ht="63.95" customHeight="1" x14ac:dyDescent="0.25">
      <c r="A654" s="467"/>
      <c r="B654" s="393"/>
      <c r="C654" s="97" t="s">
        <v>97</v>
      </c>
      <c r="D654" s="106"/>
      <c r="E654" s="93">
        <v>0</v>
      </c>
      <c r="F654" s="93">
        <v>0</v>
      </c>
      <c r="G654" s="93">
        <v>0</v>
      </c>
      <c r="H654" s="93">
        <v>0</v>
      </c>
      <c r="I654" s="93">
        <v>0</v>
      </c>
      <c r="J654" s="93">
        <v>0</v>
      </c>
      <c r="K654" s="93">
        <v>0</v>
      </c>
      <c r="L654" s="93">
        <v>0</v>
      </c>
      <c r="M654" s="93">
        <v>0</v>
      </c>
      <c r="N654" s="9"/>
      <c r="O654" s="3"/>
      <c r="P654" s="3"/>
      <c r="Q654" s="3"/>
      <c r="R654" s="3"/>
      <c r="S654" s="3"/>
    </row>
    <row r="655" spans="1:19" s="10" customFormat="1" ht="48" customHeight="1" x14ac:dyDescent="0.25">
      <c r="A655" s="505"/>
      <c r="B655" s="506"/>
      <c r="C655" s="97" t="s">
        <v>98</v>
      </c>
      <c r="D655" s="106"/>
      <c r="E655" s="93">
        <v>0</v>
      </c>
      <c r="F655" s="93">
        <v>0</v>
      </c>
      <c r="G655" s="93">
        <v>0</v>
      </c>
      <c r="H655" s="93">
        <v>0</v>
      </c>
      <c r="I655" s="93">
        <v>0</v>
      </c>
      <c r="J655" s="93">
        <v>0</v>
      </c>
      <c r="K655" s="93">
        <v>0</v>
      </c>
      <c r="L655" s="93">
        <v>0</v>
      </c>
      <c r="M655" s="93">
        <v>0</v>
      </c>
      <c r="N655" s="9"/>
      <c r="O655" s="3"/>
      <c r="P655" s="3"/>
      <c r="Q655" s="3"/>
      <c r="R655" s="3"/>
      <c r="S655" s="3"/>
    </row>
    <row r="656" spans="1:19" s="10" customFormat="1" ht="18.75" customHeight="1" x14ac:dyDescent="0.25">
      <c r="A656" s="507" t="s">
        <v>241</v>
      </c>
      <c r="B656" s="516" t="s">
        <v>254</v>
      </c>
      <c r="C656" s="116" t="s">
        <v>27</v>
      </c>
      <c r="D656" s="106">
        <v>771</v>
      </c>
      <c r="E656" s="92">
        <f>SUM(E657:E662)</f>
        <v>0</v>
      </c>
      <c r="F656" s="92">
        <f t="shared" ref="F656:L656" si="116">SUM(F657:F662)</f>
        <v>0</v>
      </c>
      <c r="G656" s="92">
        <f t="shared" si="116"/>
        <v>16550</v>
      </c>
      <c r="H656" s="92">
        <f t="shared" si="116"/>
        <v>24115.69</v>
      </c>
      <c r="I656" s="92">
        <f t="shared" si="116"/>
        <v>29450</v>
      </c>
      <c r="J656" s="92">
        <f t="shared" si="116"/>
        <v>29450</v>
      </c>
      <c r="K656" s="92">
        <f t="shared" si="116"/>
        <v>29450</v>
      </c>
      <c r="L656" s="92">
        <f t="shared" si="116"/>
        <v>29450</v>
      </c>
      <c r="M656" s="92">
        <f>SUM(E656:L656)</f>
        <v>158465.69</v>
      </c>
      <c r="N656" s="9"/>
      <c r="O656" s="3"/>
      <c r="P656" s="3"/>
      <c r="Q656" s="3"/>
      <c r="R656" s="3"/>
      <c r="S656" s="3"/>
    </row>
    <row r="657" spans="1:19" s="10" customFormat="1" ht="30" customHeight="1" x14ac:dyDescent="0.25">
      <c r="A657" s="419"/>
      <c r="B657" s="517"/>
      <c r="C657" s="97" t="s">
        <v>93</v>
      </c>
      <c r="D657" s="106"/>
      <c r="E657" s="72">
        <v>0</v>
      </c>
      <c r="F657" s="93">
        <v>0</v>
      </c>
      <c r="G657" s="93">
        <v>0</v>
      </c>
      <c r="H657" s="93">
        <v>0</v>
      </c>
      <c r="I657" s="93">
        <v>0</v>
      </c>
      <c r="J657" s="93">
        <v>0</v>
      </c>
      <c r="K657" s="93">
        <v>0</v>
      </c>
      <c r="L657" s="93">
        <v>0</v>
      </c>
      <c r="M657" s="93">
        <v>0</v>
      </c>
      <c r="N657" s="9"/>
      <c r="O657" s="3"/>
      <c r="P657" s="3"/>
      <c r="Q657" s="3"/>
      <c r="R657" s="3"/>
      <c r="S657" s="3"/>
    </row>
    <row r="658" spans="1:19" s="10" customFormat="1" ht="18.75" customHeight="1" x14ac:dyDescent="0.25">
      <c r="A658" s="419"/>
      <c r="B658" s="517"/>
      <c r="C658" s="97" t="s">
        <v>94</v>
      </c>
      <c r="D658" s="106">
        <v>771</v>
      </c>
      <c r="E658" s="93">
        <f>'Приложение 5'!H243</f>
        <v>0</v>
      </c>
      <c r="F658" s="93">
        <f>'Приложение 5'!I243</f>
        <v>0</v>
      </c>
      <c r="G658" s="93">
        <f>'Приложение 5'!J243</f>
        <v>16550</v>
      </c>
      <c r="H658" s="93">
        <f>'Приложение 5'!K244</f>
        <v>24115.69</v>
      </c>
      <c r="I658" s="93">
        <f>'Приложение 5'!L244</f>
        <v>29450</v>
      </c>
      <c r="J658" s="93">
        <f>'Приложение 5'!M244</f>
        <v>29450</v>
      </c>
      <c r="K658" s="93">
        <f>'Приложение 5'!N244</f>
        <v>29450</v>
      </c>
      <c r="L658" s="93">
        <f>'Приложение 5'!O244</f>
        <v>29450</v>
      </c>
      <c r="M658" s="93">
        <f>'Приложение 5'!P243</f>
        <v>158465.69</v>
      </c>
      <c r="N658" s="9"/>
      <c r="O658" s="3"/>
      <c r="P658" s="3"/>
      <c r="Q658" s="3"/>
      <c r="R658" s="3"/>
      <c r="S658" s="3"/>
    </row>
    <row r="659" spans="1:19" s="10" customFormat="1" ht="47.1" customHeight="1" x14ac:dyDescent="0.25">
      <c r="A659" s="419"/>
      <c r="B659" s="517"/>
      <c r="C659" s="97" t="s">
        <v>95</v>
      </c>
      <c r="D659" s="106"/>
      <c r="E659" s="93">
        <v>0</v>
      </c>
      <c r="F659" s="93">
        <v>0</v>
      </c>
      <c r="G659" s="93">
        <v>0</v>
      </c>
      <c r="H659" s="93">
        <v>0</v>
      </c>
      <c r="I659" s="93">
        <v>0</v>
      </c>
      <c r="J659" s="93">
        <v>0</v>
      </c>
      <c r="K659" s="93">
        <v>0</v>
      </c>
      <c r="L659" s="93">
        <v>0</v>
      </c>
      <c r="M659" s="93">
        <v>0</v>
      </c>
      <c r="N659" s="9"/>
      <c r="O659" s="3"/>
      <c r="P659" s="3"/>
      <c r="Q659" s="3"/>
      <c r="R659" s="3"/>
      <c r="S659" s="3"/>
    </row>
    <row r="660" spans="1:19" s="10" customFormat="1" ht="63" customHeight="1" x14ac:dyDescent="0.25">
      <c r="A660" s="419"/>
      <c r="B660" s="517"/>
      <c r="C660" s="97" t="s">
        <v>96</v>
      </c>
      <c r="D660" s="106"/>
      <c r="E660" s="93">
        <v>0</v>
      </c>
      <c r="F660" s="93">
        <v>0</v>
      </c>
      <c r="G660" s="93">
        <v>0</v>
      </c>
      <c r="H660" s="93">
        <v>0</v>
      </c>
      <c r="I660" s="93">
        <v>0</v>
      </c>
      <c r="J660" s="93">
        <v>0</v>
      </c>
      <c r="K660" s="93">
        <v>0</v>
      </c>
      <c r="L660" s="93">
        <v>0</v>
      </c>
      <c r="M660" s="93">
        <v>0</v>
      </c>
      <c r="N660" s="9"/>
      <c r="O660" s="3"/>
      <c r="P660" s="3"/>
      <c r="Q660" s="3"/>
      <c r="R660" s="3"/>
      <c r="S660" s="3"/>
    </row>
    <row r="661" spans="1:19" s="10" customFormat="1" ht="63.95" customHeight="1" x14ac:dyDescent="0.25">
      <c r="A661" s="419"/>
      <c r="B661" s="517"/>
      <c r="C661" s="97" t="s">
        <v>97</v>
      </c>
      <c r="D661" s="106"/>
      <c r="E661" s="93">
        <v>0</v>
      </c>
      <c r="F661" s="93">
        <v>0</v>
      </c>
      <c r="G661" s="93">
        <v>0</v>
      </c>
      <c r="H661" s="93">
        <v>0</v>
      </c>
      <c r="I661" s="93">
        <v>0</v>
      </c>
      <c r="J661" s="93">
        <v>0</v>
      </c>
      <c r="K661" s="93">
        <v>0</v>
      </c>
      <c r="L661" s="93">
        <v>0</v>
      </c>
      <c r="M661" s="93">
        <v>0</v>
      </c>
      <c r="N661" s="9"/>
      <c r="O661" s="3"/>
      <c r="P661" s="3"/>
      <c r="Q661" s="3"/>
      <c r="R661" s="3"/>
      <c r="S661" s="3"/>
    </row>
    <row r="662" spans="1:19" s="10" customFormat="1" ht="48" customHeight="1" x14ac:dyDescent="0.25">
      <c r="A662" s="508"/>
      <c r="B662" s="518"/>
      <c r="C662" s="97" t="s">
        <v>98</v>
      </c>
      <c r="D662" s="106"/>
      <c r="E662" s="93">
        <v>0</v>
      </c>
      <c r="F662" s="93">
        <v>0</v>
      </c>
      <c r="G662" s="93">
        <v>0</v>
      </c>
      <c r="H662" s="93">
        <v>0</v>
      </c>
      <c r="I662" s="93">
        <v>0</v>
      </c>
      <c r="J662" s="93">
        <v>0</v>
      </c>
      <c r="K662" s="93">
        <v>0</v>
      </c>
      <c r="L662" s="93">
        <v>0</v>
      </c>
      <c r="M662" s="93">
        <v>0</v>
      </c>
      <c r="N662" s="9"/>
      <c r="O662" s="3"/>
      <c r="P662" s="3"/>
      <c r="Q662" s="3"/>
      <c r="R662" s="3"/>
      <c r="S662" s="3"/>
    </row>
    <row r="663" spans="1:19" s="10" customFormat="1" ht="15.75" hidden="1" x14ac:dyDescent="0.25">
      <c r="A663" s="507" t="s">
        <v>241</v>
      </c>
      <c r="B663" s="565" t="e">
        <f>'Приложение 5'!#REF!</f>
        <v>#REF!</v>
      </c>
      <c r="C663" s="116" t="s">
        <v>27</v>
      </c>
      <c r="D663" s="106">
        <v>771</v>
      </c>
      <c r="E663" s="92" t="e">
        <f>SUM(E664:E669)</f>
        <v>#REF!</v>
      </c>
      <c r="F663" s="92" t="e">
        <f t="shared" ref="F663" si="117">SUM(F664:F669)</f>
        <v>#REF!</v>
      </c>
      <c r="G663" s="92" t="e">
        <f t="shared" ref="G663" si="118">SUM(G664:G669)</f>
        <v>#REF!</v>
      </c>
      <c r="H663" s="92" t="e">
        <f t="shared" ref="H663" si="119">SUM(H664:H669)</f>
        <v>#REF!</v>
      </c>
      <c r="I663" s="92" t="e">
        <f t="shared" ref="I663" si="120">SUM(I664:I669)</f>
        <v>#REF!</v>
      </c>
      <c r="J663" s="92" t="e">
        <f t="shared" ref="J663" si="121">SUM(J664:J669)</f>
        <v>#REF!</v>
      </c>
      <c r="K663" s="92" t="e">
        <f t="shared" ref="K663" si="122">SUM(K664:K669)</f>
        <v>#REF!</v>
      </c>
      <c r="L663" s="92" t="e">
        <f t="shared" ref="L663" si="123">SUM(L664:L669)</f>
        <v>#REF!</v>
      </c>
      <c r="M663" s="92" t="e">
        <f>SUM(E663:L663)</f>
        <v>#REF!</v>
      </c>
      <c r="N663" s="9"/>
      <c r="O663" s="3"/>
      <c r="P663" s="3"/>
      <c r="Q663" s="3"/>
      <c r="R663" s="3"/>
      <c r="S663" s="3"/>
    </row>
    <row r="664" spans="1:19" s="10" customFormat="1" ht="30" hidden="1" x14ac:dyDescent="0.25">
      <c r="A664" s="419"/>
      <c r="B664" s="566"/>
      <c r="C664" s="97" t="s">
        <v>93</v>
      </c>
      <c r="D664" s="106"/>
      <c r="E664" s="72">
        <v>0</v>
      </c>
      <c r="F664" s="93">
        <v>0</v>
      </c>
      <c r="G664" s="93">
        <v>0</v>
      </c>
      <c r="H664" s="93">
        <v>0</v>
      </c>
      <c r="I664" s="93">
        <v>0</v>
      </c>
      <c r="J664" s="93">
        <v>0</v>
      </c>
      <c r="K664" s="93">
        <v>0</v>
      </c>
      <c r="L664" s="93">
        <v>0</v>
      </c>
      <c r="M664" s="93">
        <v>0</v>
      </c>
      <c r="N664" s="9"/>
      <c r="O664" s="3"/>
      <c r="P664" s="3"/>
      <c r="Q664" s="3"/>
      <c r="R664" s="3"/>
      <c r="S664" s="3"/>
    </row>
    <row r="665" spans="1:19" s="10" customFormat="1" ht="15" hidden="1" x14ac:dyDescent="0.25">
      <c r="A665" s="419"/>
      <c r="B665" s="566"/>
      <c r="C665" s="97" t="s">
        <v>94</v>
      </c>
      <c r="D665" s="106">
        <v>771</v>
      </c>
      <c r="E665" s="93" t="e">
        <f>'Приложение 5'!#REF!</f>
        <v>#REF!</v>
      </c>
      <c r="F665" s="93" t="e">
        <f>'Приложение 5'!#REF!</f>
        <v>#REF!</v>
      </c>
      <c r="G665" s="93" t="e">
        <f>'Приложение 5'!#REF!</f>
        <v>#REF!</v>
      </c>
      <c r="H665" s="93" t="e">
        <f>'Приложение 5'!#REF!</f>
        <v>#REF!</v>
      </c>
      <c r="I665" s="93" t="e">
        <f>'Приложение 5'!#REF!</f>
        <v>#REF!</v>
      </c>
      <c r="J665" s="93" t="e">
        <f>'Приложение 5'!#REF!</f>
        <v>#REF!</v>
      </c>
      <c r="K665" s="93" t="e">
        <f>'Приложение 5'!#REF!</f>
        <v>#REF!</v>
      </c>
      <c r="L665" s="93" t="e">
        <f>'Приложение 5'!#REF!</f>
        <v>#REF!</v>
      </c>
      <c r="M665" s="93">
        <f>'Приложение 5'!P254</f>
        <v>0</v>
      </c>
      <c r="N665" s="9"/>
      <c r="O665" s="3"/>
      <c r="P665" s="3"/>
      <c r="Q665" s="3"/>
      <c r="R665" s="3"/>
      <c r="S665" s="3"/>
    </row>
    <row r="666" spans="1:19" s="10" customFormat="1" ht="45" hidden="1" x14ac:dyDescent="0.25">
      <c r="A666" s="419"/>
      <c r="B666" s="566"/>
      <c r="C666" s="97" t="s">
        <v>95</v>
      </c>
      <c r="D666" s="106"/>
      <c r="E666" s="93">
        <v>0</v>
      </c>
      <c r="F666" s="93">
        <v>0</v>
      </c>
      <c r="G666" s="93">
        <v>0</v>
      </c>
      <c r="H666" s="93">
        <v>0</v>
      </c>
      <c r="I666" s="93">
        <v>0</v>
      </c>
      <c r="J666" s="93">
        <v>0</v>
      </c>
      <c r="K666" s="93">
        <v>0</v>
      </c>
      <c r="L666" s="93">
        <v>0</v>
      </c>
      <c r="M666" s="93">
        <v>0</v>
      </c>
      <c r="N666" s="9"/>
      <c r="O666" s="3"/>
      <c r="P666" s="3"/>
      <c r="Q666" s="3"/>
      <c r="R666" s="3"/>
      <c r="S666" s="3"/>
    </row>
    <row r="667" spans="1:19" s="10" customFormat="1" ht="60" hidden="1" x14ac:dyDescent="0.25">
      <c r="A667" s="419"/>
      <c r="B667" s="566"/>
      <c r="C667" s="97" t="s">
        <v>96</v>
      </c>
      <c r="D667" s="106"/>
      <c r="E667" s="93">
        <v>0</v>
      </c>
      <c r="F667" s="93">
        <v>0</v>
      </c>
      <c r="G667" s="93">
        <v>0</v>
      </c>
      <c r="H667" s="93">
        <v>0</v>
      </c>
      <c r="I667" s="93">
        <v>0</v>
      </c>
      <c r="J667" s="93">
        <v>0</v>
      </c>
      <c r="K667" s="93">
        <v>0</v>
      </c>
      <c r="L667" s="93">
        <v>0</v>
      </c>
      <c r="M667" s="93">
        <v>0</v>
      </c>
      <c r="N667" s="9"/>
      <c r="O667" s="3"/>
      <c r="P667" s="3"/>
      <c r="Q667" s="3"/>
      <c r="R667" s="3"/>
      <c r="S667" s="3"/>
    </row>
    <row r="668" spans="1:19" s="10" customFormat="1" ht="60" hidden="1" x14ac:dyDescent="0.25">
      <c r="A668" s="419"/>
      <c r="B668" s="566"/>
      <c r="C668" s="97" t="s">
        <v>97</v>
      </c>
      <c r="D668" s="106"/>
      <c r="E668" s="93">
        <v>0</v>
      </c>
      <c r="F668" s="93">
        <v>0</v>
      </c>
      <c r="G668" s="93">
        <v>0</v>
      </c>
      <c r="H668" s="93">
        <v>0</v>
      </c>
      <c r="I668" s="93">
        <v>0</v>
      </c>
      <c r="J668" s="93">
        <v>0</v>
      </c>
      <c r="K668" s="93">
        <v>0</v>
      </c>
      <c r="L668" s="93">
        <v>0</v>
      </c>
      <c r="M668" s="93">
        <v>0</v>
      </c>
      <c r="N668" s="9"/>
      <c r="O668" s="3"/>
      <c r="P668" s="3"/>
      <c r="Q668" s="3"/>
      <c r="R668" s="3"/>
      <c r="S668" s="3"/>
    </row>
    <row r="669" spans="1:19" s="10" customFormat="1" ht="30" hidden="1" x14ac:dyDescent="0.25">
      <c r="A669" s="508"/>
      <c r="B669" s="567"/>
      <c r="C669" s="97" t="s">
        <v>98</v>
      </c>
      <c r="D669" s="106"/>
      <c r="E669" s="93">
        <v>0</v>
      </c>
      <c r="F669" s="93">
        <v>0</v>
      </c>
      <c r="G669" s="93">
        <v>0</v>
      </c>
      <c r="H669" s="93">
        <v>0</v>
      </c>
      <c r="I669" s="93">
        <v>0</v>
      </c>
      <c r="J669" s="93">
        <v>0</v>
      </c>
      <c r="K669" s="93">
        <v>0</v>
      </c>
      <c r="L669" s="93">
        <v>0</v>
      </c>
      <c r="M669" s="93">
        <v>0</v>
      </c>
      <c r="N669" s="9"/>
      <c r="O669" s="3"/>
      <c r="P669" s="3"/>
      <c r="Q669" s="3"/>
      <c r="R669" s="3"/>
      <c r="S669" s="3"/>
    </row>
    <row r="670" spans="1:19" s="13" customFormat="1" ht="18.75" customHeight="1" x14ac:dyDescent="0.2">
      <c r="A670" s="507" t="s">
        <v>337</v>
      </c>
      <c r="B670" s="509" t="s">
        <v>358</v>
      </c>
      <c r="C670" s="116" t="s">
        <v>27</v>
      </c>
      <c r="D670" s="106">
        <v>771</v>
      </c>
      <c r="E670" s="92">
        <f>SUM(E671:E676)</f>
        <v>0</v>
      </c>
      <c r="F670" s="92">
        <f t="shared" ref="F670:L670" si="124">SUM(F671:F676)</f>
        <v>0</v>
      </c>
      <c r="G670" s="92">
        <f t="shared" si="124"/>
        <v>0</v>
      </c>
      <c r="H670" s="92">
        <f t="shared" si="124"/>
        <v>5000</v>
      </c>
      <c r="I670" s="92">
        <f t="shared" si="124"/>
        <v>0</v>
      </c>
      <c r="J670" s="92">
        <f t="shared" si="124"/>
        <v>0</v>
      </c>
      <c r="K670" s="92">
        <f t="shared" si="124"/>
        <v>0</v>
      </c>
      <c r="L670" s="92">
        <f t="shared" si="124"/>
        <v>0</v>
      </c>
      <c r="M670" s="92">
        <f>SUM(E670:L670)</f>
        <v>5000</v>
      </c>
      <c r="N670" s="9"/>
      <c r="O670" s="3"/>
      <c r="P670" s="3"/>
      <c r="Q670" s="3"/>
      <c r="R670" s="3"/>
      <c r="S670" s="3"/>
    </row>
    <row r="671" spans="1:19" s="13" customFormat="1" ht="30" customHeight="1" x14ac:dyDescent="0.2">
      <c r="A671" s="419"/>
      <c r="B671" s="449"/>
      <c r="C671" s="97" t="s">
        <v>93</v>
      </c>
      <c r="D671" s="106"/>
      <c r="E671" s="72">
        <v>0</v>
      </c>
      <c r="F671" s="93">
        <v>0</v>
      </c>
      <c r="G671" s="93">
        <v>0</v>
      </c>
      <c r="H671" s="93">
        <v>0</v>
      </c>
      <c r="I671" s="93">
        <v>0</v>
      </c>
      <c r="J671" s="93">
        <v>0</v>
      </c>
      <c r="K671" s="93">
        <v>0</v>
      </c>
      <c r="L671" s="93">
        <v>0</v>
      </c>
      <c r="M671" s="93">
        <v>0</v>
      </c>
      <c r="N671" s="9"/>
      <c r="O671" s="3"/>
      <c r="P671" s="3"/>
      <c r="Q671" s="3"/>
      <c r="R671" s="3"/>
      <c r="S671" s="3"/>
    </row>
    <row r="672" spans="1:19" s="13" customFormat="1" ht="18.75" customHeight="1" x14ac:dyDescent="0.2">
      <c r="A672" s="419"/>
      <c r="B672" s="449"/>
      <c r="C672" s="97" t="s">
        <v>94</v>
      </c>
      <c r="D672" s="106">
        <v>771</v>
      </c>
      <c r="E672" s="93">
        <f>'Приложение 5'!H245+'Приложение 5'!H246</f>
        <v>0</v>
      </c>
      <c r="F672" s="93">
        <f>'Приложение 5'!I245+'Приложение 5'!I246</f>
        <v>0</v>
      </c>
      <c r="G672" s="93">
        <f>'Приложение 5'!J245+'Приложение 5'!J246</f>
        <v>0</v>
      </c>
      <c r="H672" s="93">
        <f>'Приложение 5'!K245+'Приложение 5'!K246</f>
        <v>5000</v>
      </c>
      <c r="I672" s="93">
        <f>'Приложение 5'!L245+'Приложение 5'!L246</f>
        <v>0</v>
      </c>
      <c r="J672" s="93">
        <f>'Приложение 5'!M245+'Приложение 5'!M246</f>
        <v>0</v>
      </c>
      <c r="K672" s="93">
        <f>'Приложение 5'!N245+'Приложение 5'!N246</f>
        <v>0</v>
      </c>
      <c r="L672" s="93">
        <f>'Приложение 5'!O245+'Приложение 5'!O246</f>
        <v>0</v>
      </c>
      <c r="M672" s="93">
        <f>'Приложение 5'!P240</f>
        <v>12318.09</v>
      </c>
      <c r="N672" s="9"/>
      <c r="O672" s="3"/>
      <c r="P672" s="3"/>
      <c r="Q672" s="3"/>
      <c r="R672" s="3"/>
      <c r="S672" s="3"/>
    </row>
    <row r="673" spans="1:19" s="13" customFormat="1" ht="47.1" customHeight="1" x14ac:dyDescent="0.2">
      <c r="A673" s="419"/>
      <c r="B673" s="449"/>
      <c r="C673" s="97" t="s">
        <v>95</v>
      </c>
      <c r="D673" s="106"/>
      <c r="E673" s="93">
        <v>0</v>
      </c>
      <c r="F673" s="93">
        <v>0</v>
      </c>
      <c r="G673" s="93">
        <v>0</v>
      </c>
      <c r="H673" s="93">
        <v>0</v>
      </c>
      <c r="I673" s="93">
        <v>0</v>
      </c>
      <c r="J673" s="93">
        <v>0</v>
      </c>
      <c r="K673" s="93">
        <v>0</v>
      </c>
      <c r="L673" s="93">
        <v>0</v>
      </c>
      <c r="M673" s="93">
        <v>0</v>
      </c>
      <c r="N673" s="9"/>
      <c r="O673" s="3"/>
      <c r="P673" s="3"/>
      <c r="Q673" s="3"/>
      <c r="R673" s="3"/>
      <c r="S673" s="3"/>
    </row>
    <row r="674" spans="1:19" s="13" customFormat="1" ht="63" customHeight="1" x14ac:dyDescent="0.2">
      <c r="A674" s="419"/>
      <c r="B674" s="449"/>
      <c r="C674" s="97" t="s">
        <v>96</v>
      </c>
      <c r="D674" s="106"/>
      <c r="E674" s="93">
        <v>0</v>
      </c>
      <c r="F674" s="93">
        <v>0</v>
      </c>
      <c r="G674" s="93">
        <v>0</v>
      </c>
      <c r="H674" s="93">
        <v>0</v>
      </c>
      <c r="I674" s="93">
        <v>0</v>
      </c>
      <c r="J674" s="93">
        <v>0</v>
      </c>
      <c r="K674" s="93">
        <v>0</v>
      </c>
      <c r="L674" s="93">
        <v>0</v>
      </c>
      <c r="M674" s="93">
        <v>0</v>
      </c>
      <c r="N674" s="9"/>
      <c r="O674" s="3"/>
      <c r="P674" s="3"/>
      <c r="Q674" s="3"/>
      <c r="R674" s="3"/>
      <c r="S674" s="3"/>
    </row>
    <row r="675" spans="1:19" s="13" customFormat="1" ht="63.95" customHeight="1" x14ac:dyDescent="0.2">
      <c r="A675" s="419"/>
      <c r="B675" s="449"/>
      <c r="C675" s="97" t="s">
        <v>97</v>
      </c>
      <c r="D675" s="106"/>
      <c r="E675" s="93">
        <v>0</v>
      </c>
      <c r="F675" s="93">
        <v>0</v>
      </c>
      <c r="G675" s="93">
        <v>0</v>
      </c>
      <c r="H675" s="93">
        <v>0</v>
      </c>
      <c r="I675" s="93">
        <v>0</v>
      </c>
      <c r="J675" s="93">
        <v>0</v>
      </c>
      <c r="K675" s="93">
        <v>0</v>
      </c>
      <c r="L675" s="93">
        <v>0</v>
      </c>
      <c r="M675" s="93">
        <v>0</v>
      </c>
      <c r="N675" s="9"/>
      <c r="O675" s="3"/>
      <c r="P675" s="3"/>
      <c r="Q675" s="3"/>
      <c r="R675" s="3"/>
      <c r="S675" s="3"/>
    </row>
    <row r="676" spans="1:19" s="13" customFormat="1" ht="48" customHeight="1" x14ac:dyDescent="0.2">
      <c r="A676" s="508"/>
      <c r="B676" s="510"/>
      <c r="C676" s="97" t="s">
        <v>98</v>
      </c>
      <c r="D676" s="106"/>
      <c r="E676" s="93">
        <v>0</v>
      </c>
      <c r="F676" s="93">
        <v>0</v>
      </c>
      <c r="G676" s="93">
        <v>0</v>
      </c>
      <c r="H676" s="93">
        <v>0</v>
      </c>
      <c r="I676" s="93">
        <v>0</v>
      </c>
      <c r="J676" s="93">
        <v>0</v>
      </c>
      <c r="K676" s="93">
        <v>0</v>
      </c>
      <c r="L676" s="93">
        <v>0</v>
      </c>
      <c r="M676" s="93">
        <v>0</v>
      </c>
      <c r="N676" s="9"/>
      <c r="O676" s="3"/>
      <c r="P676" s="3"/>
      <c r="Q676" s="3"/>
      <c r="R676" s="3"/>
      <c r="S676" s="3"/>
    </row>
    <row r="677" spans="1:19" s="13" customFormat="1" ht="18.75" customHeight="1" x14ac:dyDescent="0.2">
      <c r="A677" s="507" t="s">
        <v>168</v>
      </c>
      <c r="B677" s="563" t="s">
        <v>378</v>
      </c>
      <c r="C677" s="116" t="s">
        <v>27</v>
      </c>
      <c r="D677" s="106">
        <v>771</v>
      </c>
      <c r="E677" s="92">
        <f>SUM(E678:E683)</f>
        <v>2300</v>
      </c>
      <c r="F677" s="92">
        <f t="shared" ref="F677:L677" si="125">SUM(F678:F683)</f>
        <v>0</v>
      </c>
      <c r="G677" s="92">
        <f t="shared" si="125"/>
        <v>11605.5</v>
      </c>
      <c r="H677" s="92">
        <f t="shared" si="125"/>
        <v>14210.002999999999</v>
      </c>
      <c r="I677" s="92">
        <f t="shared" si="125"/>
        <v>15200.003000000001</v>
      </c>
      <c r="J677" s="92">
        <f t="shared" si="125"/>
        <v>15200.003000000001</v>
      </c>
      <c r="K677" s="92">
        <f t="shared" si="125"/>
        <v>15200.003000000001</v>
      </c>
      <c r="L677" s="92">
        <f t="shared" si="125"/>
        <v>15200.003000000001</v>
      </c>
      <c r="M677" s="92">
        <f>SUM(E677:L677)</f>
        <v>88915.514999999985</v>
      </c>
      <c r="N677" s="9"/>
      <c r="O677" s="3"/>
      <c r="P677" s="3"/>
      <c r="Q677" s="3"/>
      <c r="R677" s="3"/>
      <c r="S677" s="3"/>
    </row>
    <row r="678" spans="1:19" s="13" customFormat="1" ht="30" customHeight="1" x14ac:dyDescent="0.2">
      <c r="A678" s="419"/>
      <c r="B678" s="416"/>
      <c r="C678" s="97" t="s">
        <v>93</v>
      </c>
      <c r="D678" s="106"/>
      <c r="E678" s="72">
        <v>0</v>
      </c>
      <c r="F678" s="93">
        <v>0</v>
      </c>
      <c r="G678" s="93">
        <v>0</v>
      </c>
      <c r="H678" s="93">
        <v>0</v>
      </c>
      <c r="I678" s="93">
        <v>0</v>
      </c>
      <c r="J678" s="93">
        <v>0</v>
      </c>
      <c r="K678" s="93">
        <v>0</v>
      </c>
      <c r="L678" s="93">
        <v>0</v>
      </c>
      <c r="M678" s="93">
        <v>0</v>
      </c>
      <c r="N678" s="9"/>
      <c r="O678" s="3"/>
      <c r="P678" s="3"/>
      <c r="Q678" s="3"/>
      <c r="R678" s="3"/>
      <c r="S678" s="3"/>
    </row>
    <row r="679" spans="1:19" s="13" customFormat="1" ht="18.75" customHeight="1" x14ac:dyDescent="0.2">
      <c r="A679" s="419"/>
      <c r="B679" s="416"/>
      <c r="C679" s="97" t="s">
        <v>94</v>
      </c>
      <c r="D679" s="106">
        <v>771</v>
      </c>
      <c r="E679" s="93">
        <f>'Приложение 5'!H248</f>
        <v>2300</v>
      </c>
      <c r="F679" s="93">
        <f>'Приложение 5'!I248</f>
        <v>0</v>
      </c>
      <c r="G679" s="93">
        <f>'Приложение 5'!J248</f>
        <v>11605.5</v>
      </c>
      <c r="H679" s="93">
        <f>'Приложение 5'!K247</f>
        <v>14210.002999999999</v>
      </c>
      <c r="I679" s="93">
        <f>'Приложение 5'!L247</f>
        <v>15200.003000000001</v>
      </c>
      <c r="J679" s="93">
        <f>'Приложение 5'!M247</f>
        <v>15200.003000000001</v>
      </c>
      <c r="K679" s="93">
        <f>'Приложение 5'!N247</f>
        <v>15200.003000000001</v>
      </c>
      <c r="L679" s="93">
        <f>'Приложение 5'!O247</f>
        <v>15200.003000000001</v>
      </c>
      <c r="M679" s="93">
        <f>'Приложение 5'!P247</f>
        <v>88915.514999999985</v>
      </c>
      <c r="N679" s="9"/>
      <c r="O679" s="3"/>
      <c r="P679" s="3"/>
      <c r="Q679" s="3"/>
      <c r="R679" s="3"/>
      <c r="S679" s="3"/>
    </row>
    <row r="680" spans="1:19" s="13" customFormat="1" ht="47.1" customHeight="1" x14ac:dyDescent="0.2">
      <c r="A680" s="419"/>
      <c r="B680" s="416"/>
      <c r="C680" s="97" t="s">
        <v>95</v>
      </c>
      <c r="D680" s="106"/>
      <c r="E680" s="93">
        <v>0</v>
      </c>
      <c r="F680" s="93">
        <v>0</v>
      </c>
      <c r="G680" s="93">
        <v>0</v>
      </c>
      <c r="H680" s="93">
        <v>0</v>
      </c>
      <c r="I680" s="93">
        <v>0</v>
      </c>
      <c r="J680" s="93">
        <v>0</v>
      </c>
      <c r="K680" s="93">
        <v>0</v>
      </c>
      <c r="L680" s="93">
        <v>0</v>
      </c>
      <c r="M680" s="93">
        <v>0</v>
      </c>
      <c r="N680" s="9"/>
      <c r="O680" s="3"/>
      <c r="P680" s="3"/>
      <c r="Q680" s="3"/>
      <c r="R680" s="3"/>
      <c r="S680" s="3"/>
    </row>
    <row r="681" spans="1:19" s="13" customFormat="1" ht="63" customHeight="1" x14ac:dyDescent="0.2">
      <c r="A681" s="419"/>
      <c r="B681" s="416"/>
      <c r="C681" s="97" t="s">
        <v>96</v>
      </c>
      <c r="D681" s="106"/>
      <c r="E681" s="93">
        <v>0</v>
      </c>
      <c r="F681" s="93">
        <v>0</v>
      </c>
      <c r="G681" s="93">
        <v>0</v>
      </c>
      <c r="H681" s="93">
        <v>0</v>
      </c>
      <c r="I681" s="93">
        <v>0</v>
      </c>
      <c r="J681" s="93">
        <v>0</v>
      </c>
      <c r="K681" s="93">
        <v>0</v>
      </c>
      <c r="L681" s="93">
        <v>0</v>
      </c>
      <c r="M681" s="93">
        <v>0</v>
      </c>
      <c r="N681" s="9"/>
      <c r="O681" s="3"/>
      <c r="P681" s="3"/>
      <c r="Q681" s="3"/>
      <c r="R681" s="3"/>
      <c r="S681" s="3"/>
    </row>
    <row r="682" spans="1:19" s="13" customFormat="1" ht="63.95" customHeight="1" x14ac:dyDescent="0.2">
      <c r="A682" s="419"/>
      <c r="B682" s="416"/>
      <c r="C682" s="97" t="s">
        <v>97</v>
      </c>
      <c r="D682" s="106"/>
      <c r="E682" s="93">
        <v>0</v>
      </c>
      <c r="F682" s="93">
        <v>0</v>
      </c>
      <c r="G682" s="93">
        <v>0</v>
      </c>
      <c r="H682" s="93">
        <v>0</v>
      </c>
      <c r="I682" s="93">
        <v>0</v>
      </c>
      <c r="J682" s="93">
        <v>0</v>
      </c>
      <c r="K682" s="93">
        <v>0</v>
      </c>
      <c r="L682" s="93">
        <v>0</v>
      </c>
      <c r="M682" s="93">
        <v>0</v>
      </c>
      <c r="N682" s="9"/>
      <c r="O682" s="3"/>
      <c r="P682" s="3"/>
      <c r="Q682" s="3"/>
      <c r="R682" s="3"/>
      <c r="S682" s="3"/>
    </row>
    <row r="683" spans="1:19" s="13" customFormat="1" ht="48" customHeight="1" x14ac:dyDescent="0.2">
      <c r="A683" s="508"/>
      <c r="B683" s="564"/>
      <c r="C683" s="97" t="s">
        <v>98</v>
      </c>
      <c r="D683" s="106"/>
      <c r="E683" s="93">
        <v>0</v>
      </c>
      <c r="F683" s="93">
        <v>0</v>
      </c>
      <c r="G683" s="93">
        <v>0</v>
      </c>
      <c r="H683" s="93">
        <v>0</v>
      </c>
      <c r="I683" s="93">
        <v>0</v>
      </c>
      <c r="J683" s="93">
        <v>0</v>
      </c>
      <c r="K683" s="93">
        <v>0</v>
      </c>
      <c r="L683" s="93">
        <v>0</v>
      </c>
      <c r="M683" s="93">
        <v>0</v>
      </c>
      <c r="N683" s="9"/>
      <c r="O683" s="3"/>
      <c r="P683" s="3"/>
      <c r="Q683" s="3"/>
      <c r="R683" s="3"/>
      <c r="S683" s="3"/>
    </row>
    <row r="684" spans="1:19" s="10" customFormat="1" ht="18.75" customHeight="1" x14ac:dyDescent="0.25">
      <c r="A684" s="548" t="s">
        <v>242</v>
      </c>
      <c r="B684" s="516" t="s">
        <v>137</v>
      </c>
      <c r="C684" s="116" t="s">
        <v>27</v>
      </c>
      <c r="D684" s="106">
        <v>771</v>
      </c>
      <c r="E684" s="92">
        <f>SUM(E685:E690)</f>
        <v>0</v>
      </c>
      <c r="F684" s="92">
        <f t="shared" ref="F684:L684" si="126">SUM(F685:F690)</f>
        <v>0</v>
      </c>
      <c r="G684" s="92">
        <f t="shared" si="126"/>
        <v>11605.5</v>
      </c>
      <c r="H684" s="92">
        <f t="shared" si="126"/>
        <v>13650.002999999999</v>
      </c>
      <c r="I684" s="92">
        <f t="shared" si="126"/>
        <v>15200.003000000001</v>
      </c>
      <c r="J684" s="92">
        <f t="shared" si="126"/>
        <v>15200.003000000001</v>
      </c>
      <c r="K684" s="92">
        <f t="shared" si="126"/>
        <v>15200.003000000001</v>
      </c>
      <c r="L684" s="92">
        <f t="shared" si="126"/>
        <v>15200.003000000001</v>
      </c>
      <c r="M684" s="92">
        <f>SUM(E684:L684)</f>
        <v>86055.514999999985</v>
      </c>
      <c r="N684" s="9"/>
      <c r="O684" s="3"/>
      <c r="P684" s="3"/>
      <c r="Q684" s="3"/>
      <c r="R684" s="3"/>
      <c r="S684" s="3"/>
    </row>
    <row r="685" spans="1:19" s="10" customFormat="1" ht="30" customHeight="1" x14ac:dyDescent="0.25">
      <c r="A685" s="481"/>
      <c r="B685" s="517"/>
      <c r="C685" s="97" t="s">
        <v>93</v>
      </c>
      <c r="D685" s="106"/>
      <c r="E685" s="72">
        <v>0</v>
      </c>
      <c r="F685" s="93">
        <v>0</v>
      </c>
      <c r="G685" s="93">
        <v>0</v>
      </c>
      <c r="H685" s="93">
        <v>0</v>
      </c>
      <c r="I685" s="93">
        <v>0</v>
      </c>
      <c r="J685" s="93">
        <v>0</v>
      </c>
      <c r="K685" s="93">
        <v>0</v>
      </c>
      <c r="L685" s="93">
        <v>0</v>
      </c>
      <c r="M685" s="93">
        <v>0</v>
      </c>
      <c r="N685" s="9"/>
      <c r="O685" s="3"/>
      <c r="P685" s="3"/>
      <c r="Q685" s="3"/>
      <c r="R685" s="3"/>
      <c r="S685" s="3"/>
    </row>
    <row r="686" spans="1:19" s="10" customFormat="1" ht="18.75" customHeight="1" x14ac:dyDescent="0.25">
      <c r="A686" s="481"/>
      <c r="B686" s="517"/>
      <c r="C686" s="97" t="s">
        <v>94</v>
      </c>
      <c r="D686" s="106">
        <v>771</v>
      </c>
      <c r="E686" s="93">
        <f>'Приложение 5'!H250+'Приложение 5'!H251+'Приложение 5'!H252+'Приложение 5'!H253</f>
        <v>0</v>
      </c>
      <c r="F686" s="93">
        <f>'Приложение 5'!I250+'Приложение 5'!I251+'Приложение 5'!I252+'Приложение 5'!I253</f>
        <v>0</v>
      </c>
      <c r="G686" s="93">
        <f>'Приложение 5'!J250+'Приложение 5'!J251+'Приложение 5'!J252+'Приложение 5'!J253</f>
        <v>11605.5</v>
      </c>
      <c r="H686" s="93">
        <f>'Приложение 5'!K254+'Приложение 5'!K255+'Приложение 5'!K256+'Приложение 5'!K257+'Приложение 5'!K258</f>
        <v>13650.002999999999</v>
      </c>
      <c r="I686" s="93">
        <f>'Приложение 5'!L254+'Приложение 5'!L255+'Приложение 5'!L256+'Приложение 5'!L257+'Приложение 5'!L258</f>
        <v>15200.003000000001</v>
      </c>
      <c r="J686" s="93">
        <f>'Приложение 5'!M254+'Приложение 5'!M255+'Приложение 5'!M256+'Приложение 5'!M257+'Приложение 5'!M258</f>
        <v>15200.003000000001</v>
      </c>
      <c r="K686" s="93">
        <f>'Приложение 5'!N254+'Приложение 5'!N255+'Приложение 5'!N256+'Приложение 5'!N257+'Приложение 5'!N258</f>
        <v>15200.003000000001</v>
      </c>
      <c r="L686" s="93">
        <f>'Приложение 5'!O254+'Приложение 5'!O255+'Приложение 5'!O256+'Приложение 5'!O257+'Приложение 5'!O258</f>
        <v>15200.003000000001</v>
      </c>
      <c r="M686" s="93">
        <f>SUM(E686:L686)</f>
        <v>86055.514999999985</v>
      </c>
      <c r="N686" s="9"/>
      <c r="O686" s="3"/>
      <c r="P686" s="3"/>
      <c r="Q686" s="3"/>
      <c r="R686" s="3"/>
      <c r="S686" s="3"/>
    </row>
    <row r="687" spans="1:19" s="10" customFormat="1" ht="47.1" customHeight="1" x14ac:dyDescent="0.25">
      <c r="A687" s="481"/>
      <c r="B687" s="517"/>
      <c r="C687" s="97" t="s">
        <v>95</v>
      </c>
      <c r="D687" s="106"/>
      <c r="E687" s="93">
        <v>0</v>
      </c>
      <c r="F687" s="93">
        <v>0</v>
      </c>
      <c r="G687" s="93">
        <v>0</v>
      </c>
      <c r="H687" s="93">
        <v>0</v>
      </c>
      <c r="I687" s="93">
        <v>0</v>
      </c>
      <c r="J687" s="93">
        <v>0</v>
      </c>
      <c r="K687" s="93">
        <v>0</v>
      </c>
      <c r="L687" s="93">
        <v>0</v>
      </c>
      <c r="M687" s="93">
        <v>0</v>
      </c>
      <c r="N687" s="9"/>
      <c r="O687" s="3"/>
      <c r="P687" s="3"/>
      <c r="Q687" s="3"/>
      <c r="R687" s="3"/>
      <c r="S687" s="3"/>
    </row>
    <row r="688" spans="1:19" s="10" customFormat="1" ht="63" customHeight="1" x14ac:dyDescent="0.25">
      <c r="A688" s="481"/>
      <c r="B688" s="517"/>
      <c r="C688" s="97" t="s">
        <v>96</v>
      </c>
      <c r="D688" s="106"/>
      <c r="E688" s="93">
        <v>0</v>
      </c>
      <c r="F688" s="93">
        <v>0</v>
      </c>
      <c r="G688" s="93">
        <v>0</v>
      </c>
      <c r="H688" s="93">
        <v>0</v>
      </c>
      <c r="I688" s="93">
        <v>0</v>
      </c>
      <c r="J688" s="93">
        <v>0</v>
      </c>
      <c r="K688" s="93">
        <v>0</v>
      </c>
      <c r="L688" s="93">
        <v>0</v>
      </c>
      <c r="M688" s="93">
        <v>0</v>
      </c>
      <c r="N688" s="9"/>
      <c r="O688" s="3"/>
      <c r="P688" s="3"/>
      <c r="Q688" s="3"/>
      <c r="R688" s="3"/>
      <c r="S688" s="3"/>
    </row>
    <row r="689" spans="1:19" s="10" customFormat="1" ht="63.95" customHeight="1" x14ac:dyDescent="0.25">
      <c r="A689" s="481"/>
      <c r="B689" s="517"/>
      <c r="C689" s="97" t="s">
        <v>97</v>
      </c>
      <c r="D689" s="106"/>
      <c r="E689" s="93">
        <v>0</v>
      </c>
      <c r="F689" s="93">
        <v>0</v>
      </c>
      <c r="G689" s="93">
        <v>0</v>
      </c>
      <c r="H689" s="93">
        <v>0</v>
      </c>
      <c r="I689" s="93">
        <v>0</v>
      </c>
      <c r="J689" s="93">
        <v>0</v>
      </c>
      <c r="K689" s="93">
        <v>0</v>
      </c>
      <c r="L689" s="93">
        <v>0</v>
      </c>
      <c r="M689" s="93">
        <v>0</v>
      </c>
      <c r="N689" s="9"/>
      <c r="O689" s="3"/>
      <c r="P689" s="3"/>
      <c r="Q689" s="3"/>
      <c r="R689" s="3"/>
      <c r="S689" s="3"/>
    </row>
    <row r="690" spans="1:19" s="10" customFormat="1" ht="48" customHeight="1" x14ac:dyDescent="0.25">
      <c r="A690" s="481"/>
      <c r="B690" s="517"/>
      <c r="C690" s="97" t="s">
        <v>98</v>
      </c>
      <c r="D690" s="106"/>
      <c r="E690" s="93">
        <v>0</v>
      </c>
      <c r="F690" s="93">
        <v>0</v>
      </c>
      <c r="G690" s="93">
        <v>0</v>
      </c>
      <c r="H690" s="93">
        <v>0</v>
      </c>
      <c r="I690" s="93">
        <v>0</v>
      </c>
      <c r="J690" s="93">
        <v>0</v>
      </c>
      <c r="K690" s="93">
        <v>0</v>
      </c>
      <c r="L690" s="93">
        <v>0</v>
      </c>
      <c r="M690" s="93">
        <v>0</v>
      </c>
      <c r="N690" s="9"/>
      <c r="O690" s="3"/>
      <c r="P690" s="3"/>
      <c r="Q690" s="3"/>
      <c r="R690" s="3"/>
      <c r="S690" s="3"/>
    </row>
    <row r="691" spans="1:19" s="2" customFormat="1" ht="18.75" customHeight="1" x14ac:dyDescent="0.25">
      <c r="A691" s="548" t="s">
        <v>244</v>
      </c>
      <c r="B691" s="509" t="s">
        <v>328</v>
      </c>
      <c r="C691" s="116" t="s">
        <v>27</v>
      </c>
      <c r="D691" s="106">
        <v>771</v>
      </c>
      <c r="E691" s="92">
        <f>SUM(E692:E697)</f>
        <v>0</v>
      </c>
      <c r="F691" s="92">
        <f t="shared" ref="F691:L691" si="127">SUM(F692:F697)</f>
        <v>0</v>
      </c>
      <c r="G691" s="92">
        <f t="shared" si="127"/>
        <v>0</v>
      </c>
      <c r="H691" s="92">
        <f t="shared" si="127"/>
        <v>60</v>
      </c>
      <c r="I691" s="92">
        <f t="shared" si="127"/>
        <v>0</v>
      </c>
      <c r="J691" s="92">
        <f t="shared" si="127"/>
        <v>0</v>
      </c>
      <c r="K691" s="92">
        <f t="shared" si="127"/>
        <v>0</v>
      </c>
      <c r="L691" s="92">
        <f t="shared" si="127"/>
        <v>0</v>
      </c>
      <c r="M691" s="92">
        <f t="shared" ref="M691" si="128">SUM(E691:L691)</f>
        <v>60</v>
      </c>
      <c r="N691" s="3"/>
      <c r="O691" s="3"/>
      <c r="P691" s="3"/>
      <c r="Q691" s="3"/>
      <c r="R691" s="3"/>
      <c r="S691" s="3"/>
    </row>
    <row r="692" spans="1:19" s="2" customFormat="1" ht="30" customHeight="1" x14ac:dyDescent="0.25">
      <c r="A692" s="481"/>
      <c r="B692" s="449"/>
      <c r="C692" s="97" t="s">
        <v>93</v>
      </c>
      <c r="D692" s="106"/>
      <c r="E692" s="72">
        <v>0</v>
      </c>
      <c r="F692" s="93">
        <v>0</v>
      </c>
      <c r="G692" s="93">
        <v>0</v>
      </c>
      <c r="H692" s="93">
        <v>0</v>
      </c>
      <c r="I692" s="93">
        <v>0</v>
      </c>
      <c r="J692" s="93">
        <v>0</v>
      </c>
      <c r="K692" s="93">
        <v>0</v>
      </c>
      <c r="L692" s="93">
        <v>0</v>
      </c>
      <c r="M692" s="93">
        <v>0</v>
      </c>
      <c r="N692" s="3"/>
      <c r="O692" s="3"/>
      <c r="P692" s="3"/>
      <c r="Q692" s="3"/>
      <c r="R692" s="3"/>
      <c r="S692" s="3"/>
    </row>
    <row r="693" spans="1:19" s="2" customFormat="1" ht="18.75" customHeight="1" x14ac:dyDescent="0.25">
      <c r="A693" s="481"/>
      <c r="B693" s="449"/>
      <c r="C693" s="97" t="s">
        <v>94</v>
      </c>
      <c r="D693" s="106">
        <v>771</v>
      </c>
      <c r="E693" s="93">
        <f>'Приложение 5'!H259</f>
        <v>0</v>
      </c>
      <c r="F693" s="93">
        <f>'Приложение 5'!I259</f>
        <v>0</v>
      </c>
      <c r="G693" s="93">
        <f>'Приложение 5'!J259</f>
        <v>0</v>
      </c>
      <c r="H693" s="93">
        <f>'Приложение 5'!K259</f>
        <v>60</v>
      </c>
      <c r="I693" s="93">
        <f>'Приложение 5'!L259</f>
        <v>0</v>
      </c>
      <c r="J693" s="93">
        <f>'Приложение 5'!M259</f>
        <v>0</v>
      </c>
      <c r="K693" s="93">
        <f>'Приложение 5'!N259</f>
        <v>0</v>
      </c>
      <c r="L693" s="93">
        <f>'Приложение 5'!O259</f>
        <v>0</v>
      </c>
      <c r="M693" s="93">
        <f>'Приложение 5'!P259</f>
        <v>60</v>
      </c>
      <c r="N693" s="3"/>
      <c r="O693" s="3"/>
      <c r="P693" s="3"/>
      <c r="Q693" s="3"/>
      <c r="R693" s="3"/>
      <c r="S693" s="3"/>
    </row>
    <row r="694" spans="1:19" s="2" customFormat="1" ht="47.1" customHeight="1" x14ac:dyDescent="0.25">
      <c r="A694" s="481"/>
      <c r="B694" s="449"/>
      <c r="C694" s="97" t="s">
        <v>95</v>
      </c>
      <c r="D694" s="106"/>
      <c r="E694" s="93">
        <v>0</v>
      </c>
      <c r="F694" s="93">
        <v>0</v>
      </c>
      <c r="G694" s="93">
        <v>0</v>
      </c>
      <c r="H694" s="93">
        <v>0</v>
      </c>
      <c r="I694" s="93">
        <v>0</v>
      </c>
      <c r="J694" s="93">
        <v>0</v>
      </c>
      <c r="K694" s="93">
        <v>0</v>
      </c>
      <c r="L694" s="93">
        <v>0</v>
      </c>
      <c r="M694" s="93">
        <v>0</v>
      </c>
      <c r="N694" s="3"/>
      <c r="O694" s="3"/>
      <c r="P694" s="3"/>
      <c r="Q694" s="3"/>
      <c r="R694" s="3"/>
      <c r="S694" s="3"/>
    </row>
    <row r="695" spans="1:19" s="2" customFormat="1" ht="63" customHeight="1" x14ac:dyDescent="0.25">
      <c r="A695" s="481"/>
      <c r="B695" s="449"/>
      <c r="C695" s="97" t="s">
        <v>96</v>
      </c>
      <c r="D695" s="106"/>
      <c r="E695" s="93">
        <v>0</v>
      </c>
      <c r="F695" s="93">
        <v>0</v>
      </c>
      <c r="G695" s="93">
        <v>0</v>
      </c>
      <c r="H695" s="93">
        <v>0</v>
      </c>
      <c r="I695" s="93">
        <v>0</v>
      </c>
      <c r="J695" s="93">
        <v>0</v>
      </c>
      <c r="K695" s="93">
        <v>0</v>
      </c>
      <c r="L695" s="93">
        <v>0</v>
      </c>
      <c r="M695" s="93">
        <v>0</v>
      </c>
      <c r="N695" s="3"/>
      <c r="O695" s="3"/>
      <c r="P695" s="3"/>
      <c r="Q695" s="3"/>
      <c r="R695" s="3"/>
      <c r="S695" s="3"/>
    </row>
    <row r="696" spans="1:19" s="2" customFormat="1" ht="63.95" customHeight="1" x14ac:dyDescent="0.25">
      <c r="A696" s="481"/>
      <c r="B696" s="449"/>
      <c r="C696" s="97" t="s">
        <v>97</v>
      </c>
      <c r="D696" s="106"/>
      <c r="E696" s="93">
        <v>0</v>
      </c>
      <c r="F696" s="93">
        <v>0</v>
      </c>
      <c r="G696" s="93">
        <v>0</v>
      </c>
      <c r="H696" s="93">
        <v>0</v>
      </c>
      <c r="I696" s="93">
        <v>0</v>
      </c>
      <c r="J696" s="93">
        <v>0</v>
      </c>
      <c r="K696" s="93">
        <v>0</v>
      </c>
      <c r="L696" s="93">
        <v>0</v>
      </c>
      <c r="M696" s="93">
        <v>0</v>
      </c>
      <c r="N696" s="3"/>
      <c r="O696" s="3"/>
      <c r="P696" s="3"/>
      <c r="Q696" s="3"/>
      <c r="R696" s="3"/>
      <c r="S696" s="3"/>
    </row>
    <row r="697" spans="1:19" s="2" customFormat="1" ht="48" customHeight="1" x14ac:dyDescent="0.25">
      <c r="A697" s="549"/>
      <c r="B697" s="510"/>
      <c r="C697" s="97" t="s">
        <v>98</v>
      </c>
      <c r="D697" s="106"/>
      <c r="E697" s="93">
        <v>0</v>
      </c>
      <c r="F697" s="93">
        <v>0</v>
      </c>
      <c r="G697" s="93">
        <v>0</v>
      </c>
      <c r="H697" s="93">
        <v>0</v>
      </c>
      <c r="I697" s="93">
        <v>0</v>
      </c>
      <c r="J697" s="93">
        <v>0</v>
      </c>
      <c r="K697" s="93">
        <v>0</v>
      </c>
      <c r="L697" s="93">
        <v>0</v>
      </c>
      <c r="M697" s="93">
        <v>0</v>
      </c>
      <c r="N697" s="3"/>
      <c r="O697" s="3"/>
      <c r="P697" s="3"/>
      <c r="Q697" s="3"/>
      <c r="R697" s="3"/>
      <c r="S697" s="3"/>
    </row>
    <row r="698" spans="1:19" s="10" customFormat="1" ht="18.75" customHeight="1" x14ac:dyDescent="0.25">
      <c r="A698" s="504" t="s">
        <v>280</v>
      </c>
      <c r="B698" s="493" t="s">
        <v>339</v>
      </c>
      <c r="C698" s="116" t="s">
        <v>27</v>
      </c>
      <c r="D698" s="106">
        <v>771</v>
      </c>
      <c r="E698" s="92">
        <f>SUM(E699:E704)</f>
        <v>0</v>
      </c>
      <c r="F698" s="92">
        <f t="shared" ref="F698:L698" si="129">SUM(F699:F704)</f>
        <v>0</v>
      </c>
      <c r="G698" s="92">
        <f t="shared" si="129"/>
        <v>0</v>
      </c>
      <c r="H698" s="92">
        <f t="shared" si="129"/>
        <v>500</v>
      </c>
      <c r="I698" s="92">
        <f t="shared" si="129"/>
        <v>0</v>
      </c>
      <c r="J698" s="92">
        <f t="shared" si="129"/>
        <v>0</v>
      </c>
      <c r="K698" s="92">
        <f t="shared" si="129"/>
        <v>0</v>
      </c>
      <c r="L698" s="92">
        <f t="shared" si="129"/>
        <v>0</v>
      </c>
      <c r="M698" s="76">
        <f>SUM(E698:L698)</f>
        <v>500</v>
      </c>
      <c r="N698" s="9"/>
      <c r="O698" s="3"/>
      <c r="P698" s="3"/>
      <c r="Q698" s="3"/>
      <c r="R698" s="3"/>
      <c r="S698" s="3"/>
    </row>
    <row r="699" spans="1:19" s="10" customFormat="1" ht="30" customHeight="1" x14ac:dyDescent="0.25">
      <c r="A699" s="467"/>
      <c r="B699" s="393"/>
      <c r="C699" s="97" t="s">
        <v>93</v>
      </c>
      <c r="D699" s="106"/>
      <c r="E699" s="72">
        <v>0</v>
      </c>
      <c r="F699" s="74">
        <v>0</v>
      </c>
      <c r="G699" s="74">
        <v>0</v>
      </c>
      <c r="H699" s="74">
        <v>0</v>
      </c>
      <c r="I699" s="74">
        <v>0</v>
      </c>
      <c r="J699" s="74">
        <v>0</v>
      </c>
      <c r="K699" s="74">
        <v>0</v>
      </c>
      <c r="L699" s="74">
        <v>0</v>
      </c>
      <c r="M699" s="74">
        <v>0</v>
      </c>
      <c r="N699" s="9"/>
      <c r="O699" s="3"/>
      <c r="P699" s="3"/>
      <c r="Q699" s="3"/>
      <c r="R699" s="3"/>
      <c r="S699" s="3"/>
    </row>
    <row r="700" spans="1:19" s="10" customFormat="1" ht="18.75" customHeight="1" x14ac:dyDescent="0.25">
      <c r="A700" s="467"/>
      <c r="B700" s="393"/>
      <c r="C700" s="97" t="s">
        <v>94</v>
      </c>
      <c r="D700" s="106">
        <v>771</v>
      </c>
      <c r="E700" s="93">
        <f>'Приложение 5'!H254</f>
        <v>0</v>
      </c>
      <c r="F700" s="93">
        <f>'Приложение 5'!I254</f>
        <v>0</v>
      </c>
      <c r="G700" s="93">
        <f>'Приложение 5'!J254</f>
        <v>0</v>
      </c>
      <c r="H700" s="93">
        <f>'Приложение 5'!K260</f>
        <v>500</v>
      </c>
      <c r="I700" s="93">
        <f>'Приложение 5'!L260</f>
        <v>0</v>
      </c>
      <c r="J700" s="93">
        <f>'Приложение 5'!M260</f>
        <v>0</v>
      </c>
      <c r="K700" s="93">
        <f>'Приложение 5'!N260</f>
        <v>0</v>
      </c>
      <c r="L700" s="93">
        <f>'Приложение 5'!O260</f>
        <v>0</v>
      </c>
      <c r="M700" s="93">
        <f>'Приложение 5'!P254</f>
        <v>0</v>
      </c>
      <c r="N700" s="9"/>
      <c r="O700" s="3"/>
      <c r="P700" s="3"/>
      <c r="Q700" s="3"/>
      <c r="R700" s="3"/>
      <c r="S700" s="3"/>
    </row>
    <row r="701" spans="1:19" s="10" customFormat="1" ht="47.1" customHeight="1" x14ac:dyDescent="0.25">
      <c r="A701" s="467"/>
      <c r="B701" s="393"/>
      <c r="C701" s="97" t="s">
        <v>95</v>
      </c>
      <c r="D701" s="106"/>
      <c r="E701" s="74">
        <v>0</v>
      </c>
      <c r="F701" s="74">
        <v>0</v>
      </c>
      <c r="G701" s="74">
        <v>0</v>
      </c>
      <c r="H701" s="74">
        <v>0</v>
      </c>
      <c r="I701" s="74">
        <v>0</v>
      </c>
      <c r="J701" s="74">
        <v>0</v>
      </c>
      <c r="K701" s="74">
        <v>0</v>
      </c>
      <c r="L701" s="74">
        <v>0</v>
      </c>
      <c r="M701" s="74">
        <v>0</v>
      </c>
      <c r="N701" s="9"/>
      <c r="O701" s="3"/>
      <c r="P701" s="3"/>
      <c r="Q701" s="3"/>
      <c r="R701" s="3"/>
      <c r="S701" s="3"/>
    </row>
    <row r="702" spans="1:19" s="10" customFormat="1" ht="63" customHeight="1" x14ac:dyDescent="0.25">
      <c r="A702" s="467"/>
      <c r="B702" s="393"/>
      <c r="C702" s="97" t="s">
        <v>96</v>
      </c>
      <c r="D702" s="106"/>
      <c r="E702" s="74">
        <v>0</v>
      </c>
      <c r="F702" s="74">
        <v>0</v>
      </c>
      <c r="G702" s="74">
        <v>0</v>
      </c>
      <c r="H702" s="74">
        <v>0</v>
      </c>
      <c r="I702" s="74">
        <v>0</v>
      </c>
      <c r="J702" s="74">
        <v>0</v>
      </c>
      <c r="K702" s="74">
        <v>0</v>
      </c>
      <c r="L702" s="74">
        <v>0</v>
      </c>
      <c r="M702" s="74">
        <v>0</v>
      </c>
      <c r="N702" s="9"/>
      <c r="O702" s="3"/>
      <c r="P702" s="3"/>
      <c r="Q702" s="3"/>
      <c r="R702" s="3"/>
      <c r="S702" s="3"/>
    </row>
    <row r="703" spans="1:19" s="10" customFormat="1" ht="63.95" customHeight="1" x14ac:dyDescent="0.25">
      <c r="A703" s="467"/>
      <c r="B703" s="393"/>
      <c r="C703" s="97" t="s">
        <v>97</v>
      </c>
      <c r="D703" s="106"/>
      <c r="E703" s="74">
        <v>0</v>
      </c>
      <c r="F703" s="74">
        <v>0</v>
      </c>
      <c r="G703" s="74">
        <v>0</v>
      </c>
      <c r="H703" s="74">
        <v>0</v>
      </c>
      <c r="I703" s="74">
        <v>0</v>
      </c>
      <c r="J703" s="74">
        <v>0</v>
      </c>
      <c r="K703" s="74">
        <v>0</v>
      </c>
      <c r="L703" s="74">
        <v>0</v>
      </c>
      <c r="M703" s="74">
        <v>0</v>
      </c>
      <c r="N703" s="9"/>
      <c r="O703" s="3"/>
      <c r="P703" s="3"/>
      <c r="Q703" s="3"/>
      <c r="R703" s="3"/>
      <c r="S703" s="3"/>
    </row>
    <row r="704" spans="1:19" s="10" customFormat="1" ht="48" customHeight="1" x14ac:dyDescent="0.25">
      <c r="A704" s="505"/>
      <c r="B704" s="506"/>
      <c r="C704" s="97" t="s">
        <v>98</v>
      </c>
      <c r="D704" s="106"/>
      <c r="E704" s="74">
        <v>0</v>
      </c>
      <c r="F704" s="74">
        <v>0</v>
      </c>
      <c r="G704" s="74">
        <v>0</v>
      </c>
      <c r="H704" s="74">
        <v>0</v>
      </c>
      <c r="I704" s="74">
        <v>0</v>
      </c>
      <c r="J704" s="74">
        <v>0</v>
      </c>
      <c r="K704" s="74">
        <v>0</v>
      </c>
      <c r="L704" s="74">
        <v>0</v>
      </c>
      <c r="M704" s="74">
        <v>0</v>
      </c>
      <c r="N704" s="9"/>
      <c r="O704" s="3"/>
      <c r="P704" s="3"/>
      <c r="Q704" s="3"/>
      <c r="R704" s="3"/>
      <c r="S704" s="3"/>
    </row>
    <row r="705" spans="1:19" s="10" customFormat="1" ht="18.75" customHeight="1" x14ac:dyDescent="0.25">
      <c r="A705" s="504" t="s">
        <v>338</v>
      </c>
      <c r="B705" s="493" t="s">
        <v>83</v>
      </c>
      <c r="C705" s="116" t="s">
        <v>27</v>
      </c>
      <c r="D705" s="106">
        <v>771</v>
      </c>
      <c r="E705" s="92">
        <f>SUM(E706:E711)</f>
        <v>2300</v>
      </c>
      <c r="F705" s="92">
        <f t="shared" ref="F705:L705" si="130">SUM(F706:F711)</f>
        <v>0</v>
      </c>
      <c r="G705" s="92">
        <f t="shared" si="130"/>
        <v>0</v>
      </c>
      <c r="H705" s="92">
        <f t="shared" si="130"/>
        <v>0</v>
      </c>
      <c r="I705" s="92">
        <f t="shared" si="130"/>
        <v>0</v>
      </c>
      <c r="J705" s="92">
        <f t="shared" si="130"/>
        <v>0</v>
      </c>
      <c r="K705" s="92">
        <f t="shared" si="130"/>
        <v>0</v>
      </c>
      <c r="L705" s="92">
        <f t="shared" si="130"/>
        <v>0</v>
      </c>
      <c r="M705" s="76">
        <f>SUM(E705:L705)</f>
        <v>2300</v>
      </c>
      <c r="N705" s="9"/>
      <c r="O705" s="3"/>
      <c r="P705" s="3"/>
      <c r="Q705" s="3"/>
      <c r="R705" s="3"/>
      <c r="S705" s="3"/>
    </row>
    <row r="706" spans="1:19" s="10" customFormat="1" ht="30" customHeight="1" x14ac:dyDescent="0.25">
      <c r="A706" s="467"/>
      <c r="B706" s="393"/>
      <c r="C706" s="97" t="s">
        <v>93</v>
      </c>
      <c r="D706" s="106"/>
      <c r="E706" s="72">
        <v>0</v>
      </c>
      <c r="F706" s="74">
        <v>0</v>
      </c>
      <c r="G706" s="74">
        <v>0</v>
      </c>
      <c r="H706" s="74">
        <v>0</v>
      </c>
      <c r="I706" s="74">
        <v>0</v>
      </c>
      <c r="J706" s="74">
        <v>0</v>
      </c>
      <c r="K706" s="74">
        <v>0</v>
      </c>
      <c r="L706" s="74">
        <v>0</v>
      </c>
      <c r="M706" s="74">
        <v>0</v>
      </c>
      <c r="N706" s="9"/>
      <c r="O706" s="3"/>
      <c r="P706" s="3"/>
      <c r="Q706" s="3"/>
      <c r="R706" s="3"/>
      <c r="S706" s="3"/>
    </row>
    <row r="707" spans="1:19" s="10" customFormat="1" ht="18.75" customHeight="1" x14ac:dyDescent="0.25">
      <c r="A707" s="467"/>
      <c r="B707" s="393"/>
      <c r="C707" s="97" t="s">
        <v>94</v>
      </c>
      <c r="D707" s="106">
        <v>771</v>
      </c>
      <c r="E707" s="93">
        <f>'Приложение 5'!H261</f>
        <v>2300</v>
      </c>
      <c r="F707" s="93">
        <f>'Приложение 5'!I261</f>
        <v>0</v>
      </c>
      <c r="G707" s="93">
        <f>'Приложение 5'!J261</f>
        <v>0</v>
      </c>
      <c r="H707" s="93">
        <f>'Приложение 5'!K261</f>
        <v>0</v>
      </c>
      <c r="I707" s="93">
        <f>'Приложение 5'!L261</f>
        <v>0</v>
      </c>
      <c r="J707" s="93">
        <f>'Приложение 5'!M261</f>
        <v>0</v>
      </c>
      <c r="K707" s="93">
        <f>'Приложение 5'!N261</f>
        <v>0</v>
      </c>
      <c r="L707" s="93">
        <f>'Приложение 5'!O261</f>
        <v>0</v>
      </c>
      <c r="M707" s="93">
        <f>'Приложение 5'!P261</f>
        <v>2300</v>
      </c>
      <c r="N707" s="9"/>
      <c r="O707" s="3"/>
      <c r="P707" s="3"/>
      <c r="Q707" s="3"/>
      <c r="R707" s="3"/>
      <c r="S707" s="3"/>
    </row>
    <row r="708" spans="1:19" s="10" customFormat="1" ht="47.1" customHeight="1" x14ac:dyDescent="0.25">
      <c r="A708" s="467"/>
      <c r="B708" s="393"/>
      <c r="C708" s="97" t="s">
        <v>95</v>
      </c>
      <c r="D708" s="106"/>
      <c r="E708" s="74">
        <v>0</v>
      </c>
      <c r="F708" s="74">
        <v>0</v>
      </c>
      <c r="G708" s="74">
        <v>0</v>
      </c>
      <c r="H708" s="74">
        <v>0</v>
      </c>
      <c r="I708" s="74">
        <v>0</v>
      </c>
      <c r="J708" s="74">
        <v>0</v>
      </c>
      <c r="K708" s="74">
        <v>0</v>
      </c>
      <c r="L708" s="74">
        <v>0</v>
      </c>
      <c r="M708" s="74">
        <v>0</v>
      </c>
      <c r="N708" s="9"/>
      <c r="O708" s="3"/>
      <c r="P708" s="3"/>
      <c r="Q708" s="3"/>
      <c r="R708" s="3"/>
      <c r="S708" s="3"/>
    </row>
    <row r="709" spans="1:19" s="10" customFormat="1" ht="63" customHeight="1" x14ac:dyDescent="0.25">
      <c r="A709" s="467"/>
      <c r="B709" s="393"/>
      <c r="C709" s="97" t="s">
        <v>96</v>
      </c>
      <c r="D709" s="106"/>
      <c r="E709" s="74">
        <v>0</v>
      </c>
      <c r="F709" s="74">
        <v>0</v>
      </c>
      <c r="G709" s="74">
        <v>0</v>
      </c>
      <c r="H709" s="74">
        <v>0</v>
      </c>
      <c r="I709" s="74">
        <v>0</v>
      </c>
      <c r="J709" s="74">
        <v>0</v>
      </c>
      <c r="K709" s="74">
        <v>0</v>
      </c>
      <c r="L709" s="74">
        <v>0</v>
      </c>
      <c r="M709" s="74">
        <v>0</v>
      </c>
      <c r="N709" s="9"/>
      <c r="O709" s="3"/>
      <c r="P709" s="3"/>
      <c r="Q709" s="3"/>
      <c r="R709" s="3"/>
      <c r="S709" s="3"/>
    </row>
    <row r="710" spans="1:19" s="10" customFormat="1" ht="63.95" customHeight="1" x14ac:dyDescent="0.25">
      <c r="A710" s="467"/>
      <c r="B710" s="393"/>
      <c r="C710" s="97" t="s">
        <v>97</v>
      </c>
      <c r="D710" s="106"/>
      <c r="E710" s="74">
        <v>0</v>
      </c>
      <c r="F710" s="74">
        <v>0</v>
      </c>
      <c r="G710" s="74">
        <v>0</v>
      </c>
      <c r="H710" s="74">
        <v>0</v>
      </c>
      <c r="I710" s="74">
        <v>0</v>
      </c>
      <c r="J710" s="74">
        <v>0</v>
      </c>
      <c r="K710" s="74">
        <v>0</v>
      </c>
      <c r="L710" s="74">
        <v>0</v>
      </c>
      <c r="M710" s="74">
        <v>0</v>
      </c>
      <c r="N710" s="9"/>
      <c r="O710" s="3"/>
      <c r="P710" s="3"/>
      <c r="Q710" s="3"/>
      <c r="R710" s="3"/>
      <c r="S710" s="3"/>
    </row>
    <row r="711" spans="1:19" s="10" customFormat="1" ht="48" customHeight="1" x14ac:dyDescent="0.25">
      <c r="A711" s="505"/>
      <c r="B711" s="506"/>
      <c r="C711" s="97" t="s">
        <v>98</v>
      </c>
      <c r="D711" s="106"/>
      <c r="E711" s="74">
        <v>0</v>
      </c>
      <c r="F711" s="74">
        <v>0</v>
      </c>
      <c r="G711" s="74">
        <v>0</v>
      </c>
      <c r="H711" s="74">
        <v>0</v>
      </c>
      <c r="I711" s="74">
        <v>0</v>
      </c>
      <c r="J711" s="74">
        <v>0</v>
      </c>
      <c r="K711" s="74">
        <v>0</v>
      </c>
      <c r="L711" s="74">
        <v>0</v>
      </c>
      <c r="M711" s="74">
        <v>0</v>
      </c>
      <c r="N711" s="9"/>
      <c r="O711" s="3"/>
      <c r="P711" s="3"/>
      <c r="Q711" s="3"/>
      <c r="R711" s="3"/>
      <c r="S711" s="3"/>
    </row>
    <row r="712" spans="1:19" s="10" customFormat="1" ht="18.75" customHeight="1" x14ac:dyDescent="0.25">
      <c r="A712" s="504" t="s">
        <v>345</v>
      </c>
      <c r="B712" s="493" t="s">
        <v>84</v>
      </c>
      <c r="C712" s="116" t="s">
        <v>27</v>
      </c>
      <c r="D712" s="106">
        <v>771</v>
      </c>
      <c r="E712" s="92">
        <f>SUM(E713:E718)</f>
        <v>300</v>
      </c>
      <c r="F712" s="92">
        <f t="shared" ref="F712:L712" si="131">SUM(F713:F718)</f>
        <v>0</v>
      </c>
      <c r="G712" s="92">
        <f t="shared" si="131"/>
        <v>0</v>
      </c>
      <c r="H712" s="92">
        <f t="shared" si="131"/>
        <v>0</v>
      </c>
      <c r="I712" s="92">
        <f t="shared" si="131"/>
        <v>0</v>
      </c>
      <c r="J712" s="92">
        <f t="shared" si="131"/>
        <v>0</v>
      </c>
      <c r="K712" s="92">
        <f t="shared" si="131"/>
        <v>0</v>
      </c>
      <c r="L712" s="92">
        <f t="shared" si="131"/>
        <v>0</v>
      </c>
      <c r="M712" s="92">
        <f>SUM(E712:I712)</f>
        <v>300</v>
      </c>
      <c r="N712" s="9"/>
      <c r="O712" s="3"/>
      <c r="P712" s="3"/>
      <c r="Q712" s="3"/>
      <c r="R712" s="3"/>
      <c r="S712" s="3"/>
    </row>
    <row r="713" spans="1:19" s="10" customFormat="1" ht="30" customHeight="1" x14ac:dyDescent="0.25">
      <c r="A713" s="467"/>
      <c r="B713" s="393"/>
      <c r="C713" s="97" t="s">
        <v>93</v>
      </c>
      <c r="D713" s="106"/>
      <c r="E713" s="72">
        <v>0</v>
      </c>
      <c r="F713" s="93">
        <v>0</v>
      </c>
      <c r="G713" s="93">
        <v>0</v>
      </c>
      <c r="H713" s="93">
        <v>0</v>
      </c>
      <c r="I713" s="93">
        <v>0</v>
      </c>
      <c r="J713" s="93">
        <v>0</v>
      </c>
      <c r="K713" s="93">
        <v>0</v>
      </c>
      <c r="L713" s="93">
        <v>0</v>
      </c>
      <c r="M713" s="93">
        <v>0</v>
      </c>
      <c r="N713" s="9"/>
      <c r="O713" s="3"/>
      <c r="P713" s="3"/>
      <c r="Q713" s="3"/>
      <c r="R713" s="3"/>
      <c r="S713" s="3"/>
    </row>
    <row r="714" spans="1:19" s="10" customFormat="1" ht="18.75" customHeight="1" x14ac:dyDescent="0.25">
      <c r="A714" s="467"/>
      <c r="B714" s="393"/>
      <c r="C714" s="97" t="s">
        <v>94</v>
      </c>
      <c r="D714" s="106">
        <v>771</v>
      </c>
      <c r="E714" s="93">
        <f>'Приложение 5'!H262</f>
        <v>300</v>
      </c>
      <c r="F714" s="93">
        <f>'Приложение 5'!I262</f>
        <v>0</v>
      </c>
      <c r="G714" s="93">
        <f>'Приложение 5'!J262</f>
        <v>0</v>
      </c>
      <c r="H714" s="93">
        <f>'Приложение 5'!K262</f>
        <v>0</v>
      </c>
      <c r="I714" s="93">
        <f>'Приложение 5'!L262</f>
        <v>0</v>
      </c>
      <c r="J714" s="93">
        <f>'Приложение 5'!M262</f>
        <v>0</v>
      </c>
      <c r="K714" s="93">
        <f>'Приложение 5'!N262</f>
        <v>0</v>
      </c>
      <c r="L714" s="93">
        <f>'Приложение 5'!O262</f>
        <v>0</v>
      </c>
      <c r="M714" s="93">
        <f>'Приложение 5'!P262</f>
        <v>300</v>
      </c>
      <c r="N714" s="9"/>
      <c r="O714" s="3"/>
      <c r="P714" s="3"/>
      <c r="Q714" s="3"/>
      <c r="R714" s="3"/>
      <c r="S714" s="3"/>
    </row>
    <row r="715" spans="1:19" s="10" customFormat="1" ht="47.1" customHeight="1" x14ac:dyDescent="0.25">
      <c r="A715" s="467"/>
      <c r="B715" s="393"/>
      <c r="C715" s="97" t="s">
        <v>95</v>
      </c>
      <c r="D715" s="106"/>
      <c r="E715" s="93">
        <v>0</v>
      </c>
      <c r="F715" s="93">
        <v>0</v>
      </c>
      <c r="G715" s="93">
        <v>0</v>
      </c>
      <c r="H715" s="93">
        <v>0</v>
      </c>
      <c r="I715" s="93">
        <v>0</v>
      </c>
      <c r="J715" s="93">
        <v>0</v>
      </c>
      <c r="K715" s="93">
        <v>0</v>
      </c>
      <c r="L715" s="93">
        <v>0</v>
      </c>
      <c r="M715" s="93">
        <v>0</v>
      </c>
      <c r="N715" s="9"/>
      <c r="O715" s="3"/>
      <c r="P715" s="3"/>
      <c r="Q715" s="3"/>
      <c r="R715" s="3"/>
      <c r="S715" s="3"/>
    </row>
    <row r="716" spans="1:19" s="10" customFormat="1" ht="63" customHeight="1" x14ac:dyDescent="0.25">
      <c r="A716" s="467"/>
      <c r="B716" s="393"/>
      <c r="C716" s="97" t="s">
        <v>96</v>
      </c>
      <c r="D716" s="106"/>
      <c r="E716" s="93">
        <v>0</v>
      </c>
      <c r="F716" s="93">
        <v>0</v>
      </c>
      <c r="G716" s="93">
        <v>0</v>
      </c>
      <c r="H716" s="93">
        <v>0</v>
      </c>
      <c r="I716" s="93">
        <v>0</v>
      </c>
      <c r="J716" s="93">
        <v>0</v>
      </c>
      <c r="K716" s="93">
        <v>0</v>
      </c>
      <c r="L716" s="93">
        <v>0</v>
      </c>
      <c r="M716" s="93">
        <v>0</v>
      </c>
      <c r="N716" s="9"/>
      <c r="O716" s="3"/>
      <c r="P716" s="3"/>
      <c r="Q716" s="3"/>
      <c r="R716" s="3"/>
      <c r="S716" s="3"/>
    </row>
    <row r="717" spans="1:19" s="10" customFormat="1" ht="63.95" customHeight="1" x14ac:dyDescent="0.25">
      <c r="A717" s="467"/>
      <c r="B717" s="393"/>
      <c r="C717" s="97" t="s">
        <v>97</v>
      </c>
      <c r="D717" s="106"/>
      <c r="E717" s="93">
        <v>0</v>
      </c>
      <c r="F717" s="93">
        <v>0</v>
      </c>
      <c r="G717" s="93">
        <v>0</v>
      </c>
      <c r="H717" s="93">
        <v>0</v>
      </c>
      <c r="I717" s="93">
        <v>0</v>
      </c>
      <c r="J717" s="93">
        <v>0</v>
      </c>
      <c r="K717" s="93">
        <v>0</v>
      </c>
      <c r="L717" s="93">
        <v>0</v>
      </c>
      <c r="M717" s="93">
        <v>0</v>
      </c>
      <c r="N717" s="9"/>
      <c r="O717" s="3"/>
      <c r="P717" s="3"/>
      <c r="Q717" s="3"/>
      <c r="R717" s="3"/>
      <c r="S717" s="3"/>
    </row>
    <row r="718" spans="1:19" s="10" customFormat="1" ht="48" customHeight="1" x14ac:dyDescent="0.25">
      <c r="A718" s="505"/>
      <c r="B718" s="506"/>
      <c r="C718" s="97" t="s">
        <v>98</v>
      </c>
      <c r="D718" s="106"/>
      <c r="E718" s="93">
        <v>0</v>
      </c>
      <c r="F718" s="93">
        <v>0</v>
      </c>
      <c r="G718" s="93">
        <v>0</v>
      </c>
      <c r="H718" s="93">
        <v>0</v>
      </c>
      <c r="I718" s="93">
        <v>0</v>
      </c>
      <c r="J718" s="93">
        <v>0</v>
      </c>
      <c r="K718" s="93">
        <v>0</v>
      </c>
      <c r="L718" s="93">
        <v>0</v>
      </c>
      <c r="M718" s="93">
        <v>0</v>
      </c>
      <c r="N718" s="9"/>
      <c r="O718" s="3"/>
      <c r="P718" s="3"/>
      <c r="Q718" s="3"/>
      <c r="R718" s="3"/>
      <c r="S718" s="3"/>
    </row>
    <row r="719" spans="1:19" s="10" customFormat="1" ht="18.75" customHeight="1" x14ac:dyDescent="0.25">
      <c r="A719" s="504" t="s">
        <v>346</v>
      </c>
      <c r="B719" s="493" t="s">
        <v>85</v>
      </c>
      <c r="C719" s="116" t="s">
        <v>27</v>
      </c>
      <c r="D719" s="106">
        <v>771</v>
      </c>
      <c r="E719" s="92">
        <f>SUM(E720:E725)</f>
        <v>1500</v>
      </c>
      <c r="F719" s="92">
        <f t="shared" ref="F719:L719" si="132">SUM(F720:F725)</f>
        <v>0</v>
      </c>
      <c r="G719" s="92">
        <f t="shared" si="132"/>
        <v>0</v>
      </c>
      <c r="H719" s="92">
        <f t="shared" si="132"/>
        <v>0</v>
      </c>
      <c r="I719" s="92">
        <f t="shared" si="132"/>
        <v>0</v>
      </c>
      <c r="J719" s="92">
        <f t="shared" si="132"/>
        <v>0</v>
      </c>
      <c r="K719" s="92">
        <f t="shared" si="132"/>
        <v>0</v>
      </c>
      <c r="L719" s="92">
        <f t="shared" si="132"/>
        <v>0</v>
      </c>
      <c r="M719" s="92">
        <f>SUM(E719:L719)</f>
        <v>1500</v>
      </c>
      <c r="N719" s="9"/>
      <c r="O719" s="3"/>
      <c r="P719" s="3"/>
      <c r="Q719" s="3"/>
      <c r="R719" s="3"/>
      <c r="S719" s="3"/>
    </row>
    <row r="720" spans="1:19" s="10" customFormat="1" ht="30" customHeight="1" x14ac:dyDescent="0.25">
      <c r="A720" s="467"/>
      <c r="B720" s="393"/>
      <c r="C720" s="97" t="s">
        <v>93</v>
      </c>
      <c r="D720" s="106"/>
      <c r="E720" s="72">
        <v>0</v>
      </c>
      <c r="F720" s="93">
        <v>0</v>
      </c>
      <c r="G720" s="93">
        <v>0</v>
      </c>
      <c r="H720" s="93">
        <v>0</v>
      </c>
      <c r="I720" s="93">
        <v>0</v>
      </c>
      <c r="J720" s="93">
        <v>0</v>
      </c>
      <c r="K720" s="93">
        <v>0</v>
      </c>
      <c r="L720" s="93">
        <v>0</v>
      </c>
      <c r="M720" s="93">
        <v>0</v>
      </c>
      <c r="N720" s="9"/>
      <c r="O720" s="3"/>
      <c r="P720" s="3"/>
      <c r="Q720" s="3"/>
      <c r="R720" s="3"/>
      <c r="S720" s="3"/>
    </row>
    <row r="721" spans="1:19" s="10" customFormat="1" ht="18.75" customHeight="1" x14ac:dyDescent="0.25">
      <c r="A721" s="467"/>
      <c r="B721" s="393"/>
      <c r="C721" s="97" t="s">
        <v>94</v>
      </c>
      <c r="D721" s="106">
        <v>771</v>
      </c>
      <c r="E721" s="93">
        <f>'Приложение 5'!H263</f>
        <v>1500</v>
      </c>
      <c r="F721" s="93">
        <f>'Приложение 5'!I263</f>
        <v>0</v>
      </c>
      <c r="G721" s="93">
        <f>'Приложение 5'!J263</f>
        <v>0</v>
      </c>
      <c r="H721" s="93">
        <f>'Приложение 5'!K263</f>
        <v>0</v>
      </c>
      <c r="I721" s="93">
        <f>'Приложение 5'!L263</f>
        <v>0</v>
      </c>
      <c r="J721" s="93">
        <f>'Приложение 5'!M263</f>
        <v>0</v>
      </c>
      <c r="K721" s="93">
        <f>'Приложение 5'!N263</f>
        <v>0</v>
      </c>
      <c r="L721" s="93">
        <f>'Приложение 5'!O263</f>
        <v>0</v>
      </c>
      <c r="M721" s="93">
        <f>'Приложение 5'!P263</f>
        <v>1500</v>
      </c>
      <c r="N721" s="9"/>
      <c r="O721" s="3"/>
      <c r="P721" s="3"/>
      <c r="Q721" s="3"/>
      <c r="R721" s="3"/>
      <c r="S721" s="3"/>
    </row>
    <row r="722" spans="1:19" s="10" customFormat="1" ht="47.1" customHeight="1" x14ac:dyDescent="0.25">
      <c r="A722" s="467"/>
      <c r="B722" s="393"/>
      <c r="C722" s="97" t="s">
        <v>95</v>
      </c>
      <c r="D722" s="106"/>
      <c r="E722" s="93">
        <v>0</v>
      </c>
      <c r="F722" s="93">
        <v>0</v>
      </c>
      <c r="G722" s="93">
        <v>0</v>
      </c>
      <c r="H722" s="93">
        <v>0</v>
      </c>
      <c r="I722" s="93">
        <v>0</v>
      </c>
      <c r="J722" s="93">
        <v>0</v>
      </c>
      <c r="K722" s="93">
        <v>0</v>
      </c>
      <c r="L722" s="93">
        <v>0</v>
      </c>
      <c r="M722" s="93">
        <v>0</v>
      </c>
      <c r="N722" s="9"/>
      <c r="O722" s="3"/>
      <c r="P722" s="3"/>
      <c r="Q722" s="3"/>
      <c r="R722" s="3"/>
      <c r="S722" s="3"/>
    </row>
    <row r="723" spans="1:19" s="10" customFormat="1" ht="63" customHeight="1" x14ac:dyDescent="0.25">
      <c r="A723" s="467"/>
      <c r="B723" s="393"/>
      <c r="C723" s="97" t="s">
        <v>96</v>
      </c>
      <c r="D723" s="106"/>
      <c r="E723" s="93">
        <v>0</v>
      </c>
      <c r="F723" s="93">
        <v>0</v>
      </c>
      <c r="G723" s="93">
        <v>0</v>
      </c>
      <c r="H723" s="93">
        <v>0</v>
      </c>
      <c r="I723" s="93">
        <v>0</v>
      </c>
      <c r="J723" s="93">
        <v>0</v>
      </c>
      <c r="K723" s="93">
        <v>0</v>
      </c>
      <c r="L723" s="93">
        <v>0</v>
      </c>
      <c r="M723" s="93">
        <v>0</v>
      </c>
      <c r="N723" s="9"/>
      <c r="O723" s="3"/>
      <c r="P723" s="3"/>
      <c r="Q723" s="3"/>
      <c r="R723" s="3"/>
      <c r="S723" s="3"/>
    </row>
    <row r="724" spans="1:19" s="10" customFormat="1" ht="63.95" customHeight="1" x14ac:dyDescent="0.25">
      <c r="A724" s="467"/>
      <c r="B724" s="393"/>
      <c r="C724" s="97" t="s">
        <v>97</v>
      </c>
      <c r="D724" s="106"/>
      <c r="E724" s="93">
        <v>0</v>
      </c>
      <c r="F724" s="93">
        <v>0</v>
      </c>
      <c r="G724" s="93">
        <v>0</v>
      </c>
      <c r="H724" s="93">
        <v>0</v>
      </c>
      <c r="I724" s="93">
        <v>0</v>
      </c>
      <c r="J724" s="93">
        <v>0</v>
      </c>
      <c r="K724" s="93">
        <v>0</v>
      </c>
      <c r="L724" s="93">
        <v>0</v>
      </c>
      <c r="M724" s="93">
        <v>0</v>
      </c>
      <c r="N724" s="9"/>
      <c r="O724" s="3"/>
      <c r="P724" s="3"/>
      <c r="Q724" s="3"/>
      <c r="R724" s="3"/>
      <c r="S724" s="3"/>
    </row>
    <row r="725" spans="1:19" s="10" customFormat="1" ht="48" customHeight="1" x14ac:dyDescent="0.25">
      <c r="A725" s="505"/>
      <c r="B725" s="506"/>
      <c r="C725" s="97" t="s">
        <v>98</v>
      </c>
      <c r="D725" s="106"/>
      <c r="E725" s="93">
        <v>0</v>
      </c>
      <c r="F725" s="93">
        <v>0</v>
      </c>
      <c r="G725" s="93">
        <v>0</v>
      </c>
      <c r="H725" s="93">
        <v>0</v>
      </c>
      <c r="I725" s="93">
        <v>0</v>
      </c>
      <c r="J725" s="93">
        <v>0</v>
      </c>
      <c r="K725" s="93">
        <v>0</v>
      </c>
      <c r="L725" s="93">
        <v>0</v>
      </c>
      <c r="M725" s="93">
        <v>0</v>
      </c>
      <c r="N725" s="9"/>
      <c r="O725" s="3"/>
      <c r="P725" s="3"/>
      <c r="Q725" s="3"/>
      <c r="R725" s="3"/>
      <c r="S725" s="3"/>
    </row>
    <row r="726" spans="1:19" s="10" customFormat="1" ht="18.75" customHeight="1" x14ac:dyDescent="0.25">
      <c r="A726" s="504" t="s">
        <v>347</v>
      </c>
      <c r="B726" s="493" t="s">
        <v>86</v>
      </c>
      <c r="C726" s="116" t="s">
        <v>27</v>
      </c>
      <c r="D726" s="106">
        <v>771</v>
      </c>
      <c r="E726" s="92">
        <f>SUM(E727:E732)</f>
        <v>500</v>
      </c>
      <c r="F726" s="92">
        <f t="shared" ref="F726:L726" si="133">SUM(F727:F732)</f>
        <v>0</v>
      </c>
      <c r="G726" s="92">
        <f t="shared" si="133"/>
        <v>0</v>
      </c>
      <c r="H726" s="92">
        <f t="shared" si="133"/>
        <v>0</v>
      </c>
      <c r="I726" s="92">
        <f t="shared" si="133"/>
        <v>0</v>
      </c>
      <c r="J726" s="92">
        <f t="shared" si="133"/>
        <v>0</v>
      </c>
      <c r="K726" s="92">
        <f t="shared" si="133"/>
        <v>0</v>
      </c>
      <c r="L726" s="92">
        <f t="shared" si="133"/>
        <v>0</v>
      </c>
      <c r="M726" s="92">
        <f>SUM(E726:I726)</f>
        <v>500</v>
      </c>
      <c r="N726" s="9"/>
      <c r="O726" s="3"/>
      <c r="P726" s="3"/>
      <c r="Q726" s="3"/>
      <c r="R726" s="3"/>
      <c r="S726" s="3"/>
    </row>
    <row r="727" spans="1:19" s="10" customFormat="1" ht="30" customHeight="1" x14ac:dyDescent="0.25">
      <c r="A727" s="467"/>
      <c r="B727" s="393"/>
      <c r="C727" s="97" t="s">
        <v>93</v>
      </c>
      <c r="D727" s="106"/>
      <c r="E727" s="72">
        <v>0</v>
      </c>
      <c r="F727" s="93">
        <v>0</v>
      </c>
      <c r="G727" s="93">
        <v>0</v>
      </c>
      <c r="H727" s="93">
        <v>0</v>
      </c>
      <c r="I727" s="93">
        <v>0</v>
      </c>
      <c r="J727" s="93">
        <v>0</v>
      </c>
      <c r="K727" s="93">
        <v>0</v>
      </c>
      <c r="L727" s="93">
        <v>0</v>
      </c>
      <c r="M727" s="93">
        <v>0</v>
      </c>
      <c r="N727" s="9"/>
      <c r="O727" s="3"/>
      <c r="P727" s="3"/>
      <c r="Q727" s="3"/>
      <c r="R727" s="3"/>
      <c r="S727" s="3"/>
    </row>
    <row r="728" spans="1:19" s="10" customFormat="1" ht="18.75" customHeight="1" x14ac:dyDescent="0.25">
      <c r="A728" s="467"/>
      <c r="B728" s="393"/>
      <c r="C728" s="97" t="s">
        <v>94</v>
      </c>
      <c r="D728" s="106">
        <v>771</v>
      </c>
      <c r="E728" s="93">
        <f>'Приложение 5'!H264</f>
        <v>500</v>
      </c>
      <c r="F728" s="93">
        <f>'Приложение 5'!I264</f>
        <v>0</v>
      </c>
      <c r="G728" s="93">
        <f>'Приложение 5'!J264</f>
        <v>0</v>
      </c>
      <c r="H728" s="93">
        <f>'Приложение 5'!K264</f>
        <v>0</v>
      </c>
      <c r="I728" s="93">
        <f>'Приложение 5'!L264</f>
        <v>0</v>
      </c>
      <c r="J728" s="93">
        <f>'Приложение 5'!M264</f>
        <v>0</v>
      </c>
      <c r="K728" s="93">
        <f>'Приложение 5'!N264</f>
        <v>0</v>
      </c>
      <c r="L728" s="93">
        <f>'Приложение 5'!O264</f>
        <v>0</v>
      </c>
      <c r="M728" s="93">
        <f>'Приложение 5'!P264</f>
        <v>500</v>
      </c>
      <c r="N728" s="9"/>
      <c r="O728" s="3"/>
      <c r="P728" s="3"/>
      <c r="Q728" s="3"/>
      <c r="R728" s="3"/>
      <c r="S728" s="3"/>
    </row>
    <row r="729" spans="1:19" s="10" customFormat="1" ht="47.1" customHeight="1" x14ac:dyDescent="0.25">
      <c r="A729" s="467"/>
      <c r="B729" s="393"/>
      <c r="C729" s="97" t="s">
        <v>95</v>
      </c>
      <c r="D729" s="106"/>
      <c r="E729" s="93">
        <v>0</v>
      </c>
      <c r="F729" s="93">
        <v>0</v>
      </c>
      <c r="G729" s="93">
        <v>0</v>
      </c>
      <c r="H729" s="93">
        <v>0</v>
      </c>
      <c r="I729" s="93">
        <v>0</v>
      </c>
      <c r="J729" s="93">
        <v>0</v>
      </c>
      <c r="K729" s="93">
        <v>0</v>
      </c>
      <c r="L729" s="93">
        <v>0</v>
      </c>
      <c r="M729" s="93">
        <v>0</v>
      </c>
      <c r="N729" s="9"/>
      <c r="O729" s="3"/>
      <c r="P729" s="3"/>
      <c r="Q729" s="3"/>
      <c r="R729" s="3"/>
      <c r="S729" s="3"/>
    </row>
    <row r="730" spans="1:19" s="10" customFormat="1" ht="63" customHeight="1" x14ac:dyDescent="0.25">
      <c r="A730" s="467"/>
      <c r="B730" s="393"/>
      <c r="C730" s="97" t="s">
        <v>96</v>
      </c>
      <c r="D730" s="106"/>
      <c r="E730" s="93">
        <v>0</v>
      </c>
      <c r="F730" s="93">
        <v>0</v>
      </c>
      <c r="G730" s="93">
        <v>0</v>
      </c>
      <c r="H730" s="93">
        <v>0</v>
      </c>
      <c r="I730" s="93">
        <v>0</v>
      </c>
      <c r="J730" s="93">
        <v>0</v>
      </c>
      <c r="K730" s="93">
        <v>0</v>
      </c>
      <c r="L730" s="93">
        <v>0</v>
      </c>
      <c r="M730" s="93">
        <v>0</v>
      </c>
      <c r="N730" s="9"/>
      <c r="O730" s="3"/>
      <c r="P730" s="3"/>
      <c r="Q730" s="3"/>
      <c r="R730" s="3"/>
      <c r="S730" s="3"/>
    </row>
    <row r="731" spans="1:19" s="10" customFormat="1" ht="63.95" customHeight="1" x14ac:dyDescent="0.25">
      <c r="A731" s="467"/>
      <c r="B731" s="393"/>
      <c r="C731" s="97" t="s">
        <v>97</v>
      </c>
      <c r="D731" s="106"/>
      <c r="E731" s="93">
        <v>0</v>
      </c>
      <c r="F731" s="93">
        <v>0</v>
      </c>
      <c r="G731" s="93">
        <v>0</v>
      </c>
      <c r="H731" s="93">
        <v>0</v>
      </c>
      <c r="I731" s="93">
        <v>0</v>
      </c>
      <c r="J731" s="93">
        <v>0</v>
      </c>
      <c r="K731" s="93">
        <v>0</v>
      </c>
      <c r="L731" s="93">
        <v>0</v>
      </c>
      <c r="M731" s="93">
        <v>0</v>
      </c>
      <c r="N731" s="9"/>
      <c r="O731" s="3"/>
      <c r="P731" s="3"/>
      <c r="Q731" s="3"/>
      <c r="R731" s="3"/>
      <c r="S731" s="3"/>
    </row>
    <row r="732" spans="1:19" s="10" customFormat="1" ht="48" customHeight="1" x14ac:dyDescent="0.25">
      <c r="A732" s="505"/>
      <c r="B732" s="506"/>
      <c r="C732" s="97" t="s">
        <v>98</v>
      </c>
      <c r="D732" s="106"/>
      <c r="E732" s="93">
        <v>0</v>
      </c>
      <c r="F732" s="93">
        <v>0</v>
      </c>
      <c r="G732" s="93">
        <v>0</v>
      </c>
      <c r="H732" s="93">
        <v>0</v>
      </c>
      <c r="I732" s="93">
        <v>0</v>
      </c>
      <c r="J732" s="93">
        <v>0</v>
      </c>
      <c r="K732" s="93">
        <v>0</v>
      </c>
      <c r="L732" s="93">
        <v>0</v>
      </c>
      <c r="M732" s="93">
        <v>0</v>
      </c>
      <c r="N732" s="9"/>
      <c r="O732" s="3"/>
      <c r="P732" s="3"/>
      <c r="Q732" s="3"/>
      <c r="R732" s="3"/>
      <c r="S732" s="3"/>
    </row>
    <row r="733" spans="1:19" s="10" customFormat="1" ht="37.5" x14ac:dyDescent="0.25">
      <c r="A733" s="120"/>
      <c r="M733" s="14" t="s">
        <v>307</v>
      </c>
      <c r="N733" s="9"/>
      <c r="O733" s="3"/>
      <c r="P733" s="3"/>
      <c r="Q733" s="3"/>
      <c r="R733" s="3"/>
      <c r="S733" s="3"/>
    </row>
    <row r="734" spans="1:19" s="10" customFormat="1" ht="14.25" customHeight="1" x14ac:dyDescent="0.25">
      <c r="A734" s="120"/>
      <c r="N734" s="9"/>
      <c r="O734" s="3"/>
      <c r="P734" s="3"/>
      <c r="Q734" s="3"/>
      <c r="R734" s="3"/>
      <c r="S734" s="3"/>
    </row>
    <row r="735" spans="1:19" s="2" customFormat="1" ht="15" x14ac:dyDescent="0.25">
      <c r="A735" s="121"/>
      <c r="N735" s="3"/>
      <c r="O735" s="3"/>
      <c r="P735" s="3"/>
      <c r="Q735" s="3"/>
      <c r="R735" s="3"/>
      <c r="S735" s="3"/>
    </row>
    <row r="736" spans="1:19" s="2" customFormat="1" ht="15" x14ac:dyDescent="0.25">
      <c r="A736" s="121"/>
      <c r="N736" s="3"/>
      <c r="O736" s="3"/>
      <c r="P736" s="3"/>
      <c r="Q736" s="3"/>
      <c r="R736" s="3"/>
      <c r="S736" s="3"/>
    </row>
    <row r="737" spans="1:19" s="2" customFormat="1" ht="15" x14ac:dyDescent="0.25">
      <c r="A737" s="121"/>
      <c r="N737" s="3"/>
      <c r="O737" s="3"/>
      <c r="P737" s="3"/>
      <c r="Q737" s="3"/>
      <c r="R737" s="3"/>
      <c r="S737" s="3"/>
    </row>
    <row r="738" spans="1:19" s="2" customFormat="1" ht="15" x14ac:dyDescent="0.25">
      <c r="A738" s="121"/>
      <c r="N738" s="3"/>
      <c r="O738" s="3"/>
      <c r="P738" s="3"/>
      <c r="Q738" s="3"/>
      <c r="R738" s="3"/>
      <c r="S738" s="3"/>
    </row>
    <row r="739" spans="1:19" s="2" customFormat="1" ht="15" x14ac:dyDescent="0.25">
      <c r="A739" s="121"/>
      <c r="N739" s="3"/>
      <c r="O739" s="3"/>
      <c r="P739" s="3"/>
      <c r="Q739" s="3"/>
      <c r="R739" s="3"/>
      <c r="S739" s="3"/>
    </row>
    <row r="740" spans="1:19" s="45" customFormat="1" x14ac:dyDescent="0.3">
      <c r="A740" s="122"/>
    </row>
    <row r="741" spans="1:19" s="45" customFormat="1" x14ac:dyDescent="0.3">
      <c r="A741" s="122"/>
    </row>
    <row r="742" spans="1:19" s="45" customFormat="1" x14ac:dyDescent="0.3">
      <c r="A742" s="122"/>
    </row>
    <row r="743" spans="1:19" s="45" customFormat="1" x14ac:dyDescent="0.3">
      <c r="A743" s="122"/>
    </row>
    <row r="744" spans="1:19" s="45" customFormat="1" x14ac:dyDescent="0.3">
      <c r="A744" s="122"/>
    </row>
    <row r="745" spans="1:19" s="45" customFormat="1" x14ac:dyDescent="0.3">
      <c r="A745" s="122"/>
    </row>
    <row r="746" spans="1:19" s="45" customFormat="1" x14ac:dyDescent="0.3">
      <c r="A746" s="122"/>
    </row>
    <row r="747" spans="1:19" x14ac:dyDescent="0.3">
      <c r="A747" s="123"/>
      <c r="B747" s="37"/>
      <c r="C747" s="37"/>
      <c r="D747" s="37"/>
      <c r="E747" s="37"/>
      <c r="F747" s="37"/>
      <c r="G747" s="37"/>
    </row>
    <row r="748" spans="1:19" x14ac:dyDescent="0.3">
      <c r="A748" s="123"/>
      <c r="B748" s="37"/>
      <c r="C748" s="37"/>
      <c r="D748" s="37"/>
      <c r="E748" s="37"/>
      <c r="F748" s="37"/>
      <c r="G748" s="37"/>
    </row>
    <row r="749" spans="1:19" x14ac:dyDescent="0.3">
      <c r="A749" s="123"/>
      <c r="B749" s="37"/>
      <c r="C749" s="37"/>
      <c r="D749" s="37"/>
      <c r="E749" s="37"/>
      <c r="F749" s="37"/>
      <c r="G749" s="37"/>
    </row>
    <row r="750" spans="1:19" x14ac:dyDescent="0.3">
      <c r="A750" s="123"/>
      <c r="B750" s="37"/>
      <c r="C750" s="37"/>
      <c r="D750" s="37"/>
      <c r="E750" s="37"/>
      <c r="F750" s="37"/>
      <c r="G750" s="37"/>
    </row>
    <row r="751" spans="1:19" x14ac:dyDescent="0.3">
      <c r="A751" s="123"/>
      <c r="B751" s="37"/>
      <c r="C751" s="37"/>
      <c r="D751" s="37"/>
      <c r="E751" s="37"/>
      <c r="F751" s="37"/>
      <c r="G751" s="37"/>
    </row>
    <row r="752" spans="1:19" x14ac:dyDescent="0.3">
      <c r="A752" s="123"/>
      <c r="B752" s="37"/>
      <c r="C752" s="37"/>
      <c r="D752" s="37"/>
      <c r="E752" s="37"/>
      <c r="F752" s="37"/>
      <c r="G752" s="37"/>
    </row>
    <row r="753" spans="1:7" x14ac:dyDescent="0.3">
      <c r="A753" s="123"/>
      <c r="B753" s="37"/>
      <c r="C753" s="37"/>
      <c r="D753" s="37"/>
      <c r="E753" s="37"/>
      <c r="F753" s="37"/>
      <c r="G753" s="37"/>
    </row>
  </sheetData>
  <mergeCells count="378">
    <mergeCell ref="B376:B382"/>
    <mergeCell ref="A376:A382"/>
    <mergeCell ref="B411:B417"/>
    <mergeCell ref="A411:A417"/>
    <mergeCell ref="A348:A354"/>
    <mergeCell ref="B348:B354"/>
    <mergeCell ref="B292:B298"/>
    <mergeCell ref="B334:B340"/>
    <mergeCell ref="A334:A340"/>
    <mergeCell ref="A327:A333"/>
    <mergeCell ref="B327:B333"/>
    <mergeCell ref="B306:B312"/>
    <mergeCell ref="A383:A389"/>
    <mergeCell ref="B397:B403"/>
    <mergeCell ref="A390:A396"/>
    <mergeCell ref="A362:A368"/>
    <mergeCell ref="B362:B368"/>
    <mergeCell ref="B28:B34"/>
    <mergeCell ref="A28:A34"/>
    <mergeCell ref="B35:B41"/>
    <mergeCell ref="A35:A41"/>
    <mergeCell ref="B77:B83"/>
    <mergeCell ref="A77:A83"/>
    <mergeCell ref="B404:B410"/>
    <mergeCell ref="A404:A410"/>
    <mergeCell ref="A180:A186"/>
    <mergeCell ref="B180:B186"/>
    <mergeCell ref="A187:A193"/>
    <mergeCell ref="B187:B193"/>
    <mergeCell ref="A104:A113"/>
    <mergeCell ref="B104:B113"/>
    <mergeCell ref="A292:A298"/>
    <mergeCell ref="B285:B291"/>
    <mergeCell ref="B383:B389"/>
    <mergeCell ref="B390:B396"/>
    <mergeCell ref="A397:A403"/>
    <mergeCell ref="A285:A291"/>
    <mergeCell ref="B320:B326"/>
    <mergeCell ref="A320:A326"/>
    <mergeCell ref="B341:B347"/>
    <mergeCell ref="A341:A347"/>
    <mergeCell ref="E92:E93"/>
    <mergeCell ref="F98:F99"/>
    <mergeCell ref="A460:A466"/>
    <mergeCell ref="B467:B473"/>
    <mergeCell ref="A467:A473"/>
    <mergeCell ref="D92:D93"/>
    <mergeCell ref="A355:A361"/>
    <mergeCell ref="B355:B361"/>
    <mergeCell ref="A299:A305"/>
    <mergeCell ref="B299:B305"/>
    <mergeCell ref="A250:A256"/>
    <mergeCell ref="B250:B256"/>
    <mergeCell ref="A278:A284"/>
    <mergeCell ref="B278:B284"/>
    <mergeCell ref="B432:B438"/>
    <mergeCell ref="A432:A438"/>
    <mergeCell ref="B439:B445"/>
    <mergeCell ref="A439:A445"/>
    <mergeCell ref="B425:B431"/>
    <mergeCell ref="A425:A431"/>
    <mergeCell ref="A271:A277"/>
    <mergeCell ref="B271:B277"/>
    <mergeCell ref="B313:B319"/>
    <mergeCell ref="A306:A312"/>
    <mergeCell ref="F108:F109"/>
    <mergeCell ref="C98:C99"/>
    <mergeCell ref="B481:B487"/>
    <mergeCell ref="F110:F111"/>
    <mergeCell ref="C118:C119"/>
    <mergeCell ref="C122:C123"/>
    <mergeCell ref="C110:C111"/>
    <mergeCell ref="B56:B62"/>
    <mergeCell ref="A56:A62"/>
    <mergeCell ref="C90:C91"/>
    <mergeCell ref="C92:C93"/>
    <mergeCell ref="C108:C109"/>
    <mergeCell ref="E110:E111"/>
    <mergeCell ref="D120:D121"/>
    <mergeCell ref="C112:C113"/>
    <mergeCell ref="E112:E113"/>
    <mergeCell ref="D112:D113"/>
    <mergeCell ref="D110:D111"/>
    <mergeCell ref="C120:C121"/>
    <mergeCell ref="A114:A123"/>
    <mergeCell ref="E108:E109"/>
    <mergeCell ref="D102:D103"/>
    <mergeCell ref="D108:D109"/>
    <mergeCell ref="D88:D89"/>
    <mergeCell ref="D122:D123"/>
    <mergeCell ref="D118:D119"/>
    <mergeCell ref="E118:E119"/>
    <mergeCell ref="E98:E99"/>
    <mergeCell ref="D98:D99"/>
    <mergeCell ref="D100:D101"/>
    <mergeCell ref="E100:E101"/>
    <mergeCell ref="C100:C101"/>
    <mergeCell ref="E102:E103"/>
    <mergeCell ref="C102:C103"/>
    <mergeCell ref="A635:A641"/>
    <mergeCell ref="B635:B641"/>
    <mergeCell ref="A565:A571"/>
    <mergeCell ref="B565:B571"/>
    <mergeCell ref="A726:A732"/>
    <mergeCell ref="B726:B732"/>
    <mergeCell ref="B537:B543"/>
    <mergeCell ref="A579:A585"/>
    <mergeCell ref="B579:B585"/>
    <mergeCell ref="B677:B683"/>
    <mergeCell ref="A677:A683"/>
    <mergeCell ref="A684:A690"/>
    <mergeCell ref="B684:B690"/>
    <mergeCell ref="A600:A606"/>
    <mergeCell ref="B600:B606"/>
    <mergeCell ref="A537:A543"/>
    <mergeCell ref="A663:A669"/>
    <mergeCell ref="B663:B669"/>
    <mergeCell ref="B607:B613"/>
    <mergeCell ref="A614:A620"/>
    <mergeCell ref="B614:B620"/>
    <mergeCell ref="A691:A697"/>
    <mergeCell ref="B691:B697"/>
    <mergeCell ref="A628:A634"/>
    <mergeCell ref="A586:A592"/>
    <mergeCell ref="B586:B592"/>
    <mergeCell ref="A530:A536"/>
    <mergeCell ref="B530:B536"/>
    <mergeCell ref="B495:B501"/>
    <mergeCell ref="A495:A501"/>
    <mergeCell ref="B509:B515"/>
    <mergeCell ref="A481:A487"/>
    <mergeCell ref="B502:B508"/>
    <mergeCell ref="B523:B529"/>
    <mergeCell ref="A523:A529"/>
    <mergeCell ref="B488:B494"/>
    <mergeCell ref="A488:A494"/>
    <mergeCell ref="A509:A515"/>
    <mergeCell ref="A502:A508"/>
    <mergeCell ref="B516:B522"/>
    <mergeCell ref="A516:A522"/>
    <mergeCell ref="B418:B424"/>
    <mergeCell ref="A418:A424"/>
    <mergeCell ref="B474:B480"/>
    <mergeCell ref="A453:A459"/>
    <mergeCell ref="B460:B466"/>
    <mergeCell ref="B572:B578"/>
    <mergeCell ref="A572:A578"/>
    <mergeCell ref="A474:A480"/>
    <mergeCell ref="B446:B452"/>
    <mergeCell ref="A446:A452"/>
    <mergeCell ref="B453:B459"/>
    <mergeCell ref="M118:M119"/>
    <mergeCell ref="M122:M123"/>
    <mergeCell ref="M120:M121"/>
    <mergeCell ref="F122:F123"/>
    <mergeCell ref="G122:G123"/>
    <mergeCell ref="H120:H121"/>
    <mergeCell ref="E120:E121"/>
    <mergeCell ref="I120:I121"/>
    <mergeCell ref="H122:H123"/>
    <mergeCell ref="I122:I123"/>
    <mergeCell ref="G120:G121"/>
    <mergeCell ref="H118:H119"/>
    <mergeCell ref="I118:I119"/>
    <mergeCell ref="G118:G119"/>
    <mergeCell ref="F118:F119"/>
    <mergeCell ref="F120:F121"/>
    <mergeCell ref="J118:J119"/>
    <mergeCell ref="K118:K119"/>
    <mergeCell ref="L118:L119"/>
    <mergeCell ref="J120:J121"/>
    <mergeCell ref="E122:E123"/>
    <mergeCell ref="F112:F113"/>
    <mergeCell ref="B215:B221"/>
    <mergeCell ref="A201:A207"/>
    <mergeCell ref="A229:A235"/>
    <mergeCell ref="A173:A179"/>
    <mergeCell ref="B173:B179"/>
    <mergeCell ref="A194:A200"/>
    <mergeCell ref="A369:A375"/>
    <mergeCell ref="B369:B375"/>
    <mergeCell ref="A313:A319"/>
    <mergeCell ref="A236:A242"/>
    <mergeCell ref="B229:B235"/>
    <mergeCell ref="A222:A228"/>
    <mergeCell ref="B222:B228"/>
    <mergeCell ref="A145:A151"/>
    <mergeCell ref="A257:A263"/>
    <mergeCell ref="B257:B263"/>
    <mergeCell ref="A208:A214"/>
    <mergeCell ref="B208:B214"/>
    <mergeCell ref="B194:B200"/>
    <mergeCell ref="A215:A221"/>
    <mergeCell ref="B201:B207"/>
    <mergeCell ref="B236:B242"/>
    <mergeCell ref="B114:B123"/>
    <mergeCell ref="A264:A270"/>
    <mergeCell ref="B264:B270"/>
    <mergeCell ref="A159:A165"/>
    <mergeCell ref="A124:A130"/>
    <mergeCell ref="A131:A137"/>
    <mergeCell ref="B166:B172"/>
    <mergeCell ref="A166:A172"/>
    <mergeCell ref="B243:B249"/>
    <mergeCell ref="A243:A249"/>
    <mergeCell ref="B159:B165"/>
    <mergeCell ref="B124:B130"/>
    <mergeCell ref="B145:B151"/>
    <mergeCell ref="B131:B137"/>
    <mergeCell ref="A152:A158"/>
    <mergeCell ref="B152:B158"/>
    <mergeCell ref="A138:A144"/>
    <mergeCell ref="B138:B144"/>
    <mergeCell ref="M110:M111"/>
    <mergeCell ref="M112:M113"/>
    <mergeCell ref="M108:M109"/>
    <mergeCell ref="H108:H109"/>
    <mergeCell ref="G108:G109"/>
    <mergeCell ref="J110:J111"/>
    <mergeCell ref="K110:K111"/>
    <mergeCell ref="L110:L111"/>
    <mergeCell ref="J112:J113"/>
    <mergeCell ref="K112:K113"/>
    <mergeCell ref="L112:L113"/>
    <mergeCell ref="H112:H113"/>
    <mergeCell ref="I112:I113"/>
    <mergeCell ref="M102:M103"/>
    <mergeCell ref="G17:G18"/>
    <mergeCell ref="G102:G103"/>
    <mergeCell ref="G100:G101"/>
    <mergeCell ref="H98:H99"/>
    <mergeCell ref="I90:I91"/>
    <mergeCell ref="I100:I101"/>
    <mergeCell ref="H90:H91"/>
    <mergeCell ref="F90:F91"/>
    <mergeCell ref="H102:H103"/>
    <mergeCell ref="G98:G99"/>
    <mergeCell ref="I92:I93"/>
    <mergeCell ref="F92:F93"/>
    <mergeCell ref="F102:F103"/>
    <mergeCell ref="F100:F101"/>
    <mergeCell ref="J19:J20"/>
    <mergeCell ref="K19:K20"/>
    <mergeCell ref="L19:L20"/>
    <mergeCell ref="I17:I18"/>
    <mergeCell ref="F17:F18"/>
    <mergeCell ref="M98:M99"/>
    <mergeCell ref="I102:I103"/>
    <mergeCell ref="M90:M91"/>
    <mergeCell ref="M92:M93"/>
    <mergeCell ref="M100:M101"/>
    <mergeCell ref="M17:M18"/>
    <mergeCell ref="M19:M20"/>
    <mergeCell ref="G92:G93"/>
    <mergeCell ref="G90:G91"/>
    <mergeCell ref="H100:H101"/>
    <mergeCell ref="I19:I20"/>
    <mergeCell ref="M88:M89"/>
    <mergeCell ref="H88:H89"/>
    <mergeCell ref="G19:G20"/>
    <mergeCell ref="J90:J91"/>
    <mergeCell ref="K90:K91"/>
    <mergeCell ref="L90:L91"/>
    <mergeCell ref="J92:J93"/>
    <mergeCell ref="K92:K93"/>
    <mergeCell ref="L92:L93"/>
    <mergeCell ref="J98:J99"/>
    <mergeCell ref="K98:K99"/>
    <mergeCell ref="L98:L99"/>
    <mergeCell ref="I98:I99"/>
    <mergeCell ref="H92:H93"/>
    <mergeCell ref="L17:L18"/>
    <mergeCell ref="J88:J89"/>
    <mergeCell ref="K88:K89"/>
    <mergeCell ref="J17:J18"/>
    <mergeCell ref="K17:K18"/>
    <mergeCell ref="A84:A93"/>
    <mergeCell ref="B84:B93"/>
    <mergeCell ref="A94:A103"/>
    <mergeCell ref="B94:B103"/>
    <mergeCell ref="I88:I89"/>
    <mergeCell ref="G88:G89"/>
    <mergeCell ref="A42:A48"/>
    <mergeCell ref="A11:B20"/>
    <mergeCell ref="B21:B27"/>
    <mergeCell ref="B42:B48"/>
    <mergeCell ref="B70:B76"/>
    <mergeCell ref="A63:A69"/>
    <mergeCell ref="B63:B69"/>
    <mergeCell ref="A49:A55"/>
    <mergeCell ref="B49:B55"/>
    <mergeCell ref="A70:A76"/>
    <mergeCell ref="C17:C18"/>
    <mergeCell ref="E88:E89"/>
    <mergeCell ref="F88:F89"/>
    <mergeCell ref="E90:E91"/>
    <mergeCell ref="D90:D91"/>
    <mergeCell ref="C88:C89"/>
    <mergeCell ref="A21:A27"/>
    <mergeCell ref="G8:G9"/>
    <mergeCell ref="E17:E18"/>
    <mergeCell ref="E15:E16"/>
    <mergeCell ref="H15:H16"/>
    <mergeCell ref="H19:H20"/>
    <mergeCell ref="F19:F20"/>
    <mergeCell ref="E19:E20"/>
    <mergeCell ref="G15:G16"/>
    <mergeCell ref="H17:H18"/>
    <mergeCell ref="C19:C20"/>
    <mergeCell ref="B6:B9"/>
    <mergeCell ref="A3:M3"/>
    <mergeCell ref="A4:M4"/>
    <mergeCell ref="M8:M9"/>
    <mergeCell ref="M15:M16"/>
    <mergeCell ref="F15:F16"/>
    <mergeCell ref="H8:H9"/>
    <mergeCell ref="I8:I9"/>
    <mergeCell ref="J15:J16"/>
    <mergeCell ref="K15:K16"/>
    <mergeCell ref="L15:L16"/>
    <mergeCell ref="E8:E9"/>
    <mergeCell ref="F8:F9"/>
    <mergeCell ref="C15:C16"/>
    <mergeCell ref="D6:D9"/>
    <mergeCell ref="E6:M7"/>
    <mergeCell ref="I15:I16"/>
    <mergeCell ref="C6:C9"/>
    <mergeCell ref="J8:J9"/>
    <mergeCell ref="K8:K9"/>
    <mergeCell ref="L8:L9"/>
    <mergeCell ref="A593:A599"/>
    <mergeCell ref="B593:B599"/>
    <mergeCell ref="A719:A725"/>
    <mergeCell ref="B558:B564"/>
    <mergeCell ref="L88:L89"/>
    <mergeCell ref="L122:L123"/>
    <mergeCell ref="J100:J101"/>
    <mergeCell ref="K100:K101"/>
    <mergeCell ref="L100:L101"/>
    <mergeCell ref="J102:J103"/>
    <mergeCell ref="K102:K103"/>
    <mergeCell ref="L102:L103"/>
    <mergeCell ref="J108:J109"/>
    <mergeCell ref="K108:K109"/>
    <mergeCell ref="L108:L109"/>
    <mergeCell ref="K120:K121"/>
    <mergeCell ref="L120:L121"/>
    <mergeCell ref="J122:J123"/>
    <mergeCell ref="K122:K123"/>
    <mergeCell ref="H110:H111"/>
    <mergeCell ref="I108:I109"/>
    <mergeCell ref="G110:G111"/>
    <mergeCell ref="I110:I111"/>
    <mergeCell ref="G112:G113"/>
    <mergeCell ref="A698:A704"/>
    <mergeCell ref="B698:B704"/>
    <mergeCell ref="A670:A676"/>
    <mergeCell ref="B670:B676"/>
    <mergeCell ref="B628:B634"/>
    <mergeCell ref="A544:A550"/>
    <mergeCell ref="B544:B550"/>
    <mergeCell ref="B719:B725"/>
    <mergeCell ref="A621:A627"/>
    <mergeCell ref="B621:B627"/>
    <mergeCell ref="A656:A662"/>
    <mergeCell ref="B656:B662"/>
    <mergeCell ref="A642:A648"/>
    <mergeCell ref="A705:A711"/>
    <mergeCell ref="B705:B711"/>
    <mergeCell ref="A551:A557"/>
    <mergeCell ref="B551:B557"/>
    <mergeCell ref="B649:B655"/>
    <mergeCell ref="A712:A718"/>
    <mergeCell ref="B712:B718"/>
    <mergeCell ref="A607:A613"/>
    <mergeCell ref="B642:B648"/>
    <mergeCell ref="A649:A655"/>
    <mergeCell ref="A558:A564"/>
  </mergeCells>
  <phoneticPr fontId="0" type="noConversion"/>
  <pageMargins left="0.78740157480314965" right="0.59055118110236227" top="0.98425196850393704" bottom="0.59055118110236227" header="0.31496062992125984" footer="0.31496062992125984"/>
  <pageSetup paperSize="9" scale="57" fitToHeight="0" orientation="landscape" r:id="rId1"/>
  <headerFooter differentFirst="1">
    <oddHeader>&amp;C&amp;P</oddHeader>
  </headerFooter>
  <rowBreaks count="34" manualBreakCount="34">
    <brk id="12" max="12" man="1"/>
    <brk id="34" max="12" man="1"/>
    <brk id="55" max="12" man="1"/>
    <brk id="76" max="12" man="1"/>
    <brk id="103" max="12" man="1"/>
    <brk id="130" max="12" man="1"/>
    <brk id="151" max="12" man="1"/>
    <brk id="172" max="12" man="1"/>
    <brk id="193" max="12" man="1"/>
    <brk id="214" max="12" man="1"/>
    <brk id="235" max="12" man="1"/>
    <brk id="256" max="12" man="1"/>
    <brk id="277" max="12" man="1"/>
    <brk id="298" max="12" man="1"/>
    <brk id="319" max="12" man="1"/>
    <brk id="340" max="12" man="1"/>
    <brk id="361" max="12" man="1"/>
    <brk id="382" max="12" man="1"/>
    <brk id="403" max="12" man="1"/>
    <brk id="423" max="12" man="1"/>
    <brk id="444" max="12" man="1"/>
    <brk id="466" max="12" man="1"/>
    <brk id="487" max="12" man="1"/>
    <brk id="508" max="12" man="1"/>
    <brk id="529" max="12" man="1"/>
    <brk id="550" max="12" man="1"/>
    <brk id="571" max="12" man="1"/>
    <brk id="592" max="12" man="1"/>
    <brk id="613" max="12" man="1"/>
    <brk id="634" max="12" man="1"/>
    <brk id="655" max="12" man="1"/>
    <brk id="683" max="12" man="1"/>
    <brk id="704" max="12" man="1"/>
    <brk id="725" max="1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5</vt:i4>
      </vt:variant>
    </vt:vector>
  </HeadingPairs>
  <TitlesOfParts>
    <vt:vector size="7" baseType="lpstr">
      <vt:lpstr>Приложение 5</vt:lpstr>
      <vt:lpstr>Приложение 6</vt:lpstr>
      <vt:lpstr>'Приложение 5'!OLE_LINK1</vt:lpstr>
      <vt:lpstr>'Приложение 5'!Заголовки_для_печати</vt:lpstr>
      <vt:lpstr>'Приложение 6'!Заголовки_для_печати</vt:lpstr>
      <vt:lpstr>'Приложение 5'!Область_печати</vt:lpstr>
      <vt:lpstr>'Приложение 6'!Область_печати</vt:lpstr>
    </vt:vector>
  </TitlesOfParts>
  <Company>DDH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Мигачева Светлана Станиславовна</dc:creator>
  <cp:lastModifiedBy>Руденко Наталья Леонидовна</cp:lastModifiedBy>
  <cp:lastPrinted>2016-06-09T07:13:33Z</cp:lastPrinted>
  <dcterms:created xsi:type="dcterms:W3CDTF">2013-07-10T00:16:59Z</dcterms:created>
  <dcterms:modified xsi:type="dcterms:W3CDTF">2016-06-09T07:15:18Z</dcterms:modified>
</cp:coreProperties>
</file>