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0" windowWidth="27840" windowHeight="12405" activeTab="2"/>
  </bookViews>
  <sheets>
    <sheet name="2012-2014гг" sheetId="4" r:id="rId1"/>
    <sheet name="2015 год" sheetId="5" r:id="rId2"/>
    <sheet name="2016 год" sheetId="6" r:id="rId3"/>
  </sheets>
  <definedNames>
    <definedName name="_xlnm.Print_Area" localSheetId="0">'2012-2014гг'!$A$1:$I$14</definedName>
    <definedName name="_xlnm.Print_Area" localSheetId="2">'2016 год'!$A$1:$W$26</definedName>
  </definedNames>
  <calcPr calcId="145621"/>
</workbook>
</file>

<file path=xl/calcChain.xml><?xml version="1.0" encoding="utf-8"?>
<calcChain xmlns="http://schemas.openxmlformats.org/spreadsheetml/2006/main">
  <c r="D39" i="6" l="1"/>
  <c r="D30" i="6"/>
  <c r="E30" i="6" s="1"/>
  <c r="K12" i="6"/>
  <c r="J12" i="6"/>
  <c r="I12" i="6"/>
  <c r="H12" i="6"/>
  <c r="G12" i="6"/>
  <c r="F12" i="6"/>
  <c r="E12" i="6"/>
  <c r="D12" i="6"/>
  <c r="N11" i="6"/>
  <c r="O11" i="6" s="1"/>
  <c r="Q11" i="6" s="1"/>
  <c r="R11" i="6" s="1"/>
  <c r="I11" i="6"/>
  <c r="H11" i="6"/>
  <c r="G11" i="6"/>
  <c r="F11" i="6"/>
  <c r="E11" i="6"/>
  <c r="D11" i="6"/>
  <c r="N10" i="6"/>
  <c r="P10" i="6" s="1"/>
  <c r="K10" i="6"/>
  <c r="J10" i="6"/>
  <c r="J13" i="6" s="1"/>
  <c r="I10" i="6"/>
  <c r="I13" i="6" s="1"/>
  <c r="H10" i="6"/>
  <c r="H13" i="6" s="1"/>
  <c r="G10" i="6"/>
  <c r="F10" i="6"/>
  <c r="E10" i="6"/>
  <c r="E13" i="6" s="1"/>
  <c r="D10" i="6"/>
  <c r="C10" i="5"/>
  <c r="D10" i="5"/>
  <c r="E10" i="5"/>
  <c r="F10" i="5"/>
  <c r="F13" i="5" s="1"/>
  <c r="G10" i="5"/>
  <c r="H10" i="5"/>
  <c r="C11" i="5"/>
  <c r="C13" i="5" s="1"/>
  <c r="D11" i="5"/>
  <c r="E11" i="5"/>
  <c r="F11" i="5"/>
  <c r="G11" i="5"/>
  <c r="H11" i="5"/>
  <c r="C12" i="5"/>
  <c r="D12" i="5"/>
  <c r="D13" i="5" s="1"/>
  <c r="E12" i="5"/>
  <c r="E13" i="5" s="1"/>
  <c r="F12" i="5"/>
  <c r="G12" i="5"/>
  <c r="H12" i="5"/>
  <c r="G13" i="5"/>
  <c r="H13" i="5"/>
  <c r="C30" i="5"/>
  <c r="D30" i="5"/>
  <c r="C31" i="5"/>
  <c r="D31" i="5" s="1"/>
  <c r="C40" i="5"/>
  <c r="C42" i="5" s="1"/>
  <c r="C41" i="5" s="1"/>
  <c r="O10" i="5"/>
  <c r="P10" i="5"/>
  <c r="Q10" i="5"/>
  <c r="O12" i="5"/>
  <c r="P12" i="5"/>
  <c r="Q12" i="5"/>
  <c r="J12" i="5"/>
  <c r="I12" i="5"/>
  <c r="M11" i="5"/>
  <c r="O11" i="5" s="1"/>
  <c r="J10" i="5"/>
  <c r="I10" i="5"/>
  <c r="D13" i="6" l="1"/>
  <c r="Q10" i="6"/>
  <c r="F13" i="6"/>
  <c r="K13" i="6"/>
  <c r="G13" i="6"/>
  <c r="D31" i="6"/>
  <c r="N12" i="6" s="1"/>
  <c r="R12" i="6" s="1"/>
  <c r="D41" i="6"/>
  <c r="D40" i="6" s="1"/>
  <c r="O10" i="6"/>
  <c r="P11" i="6"/>
  <c r="R10" i="6"/>
  <c r="L10" i="6"/>
  <c r="O13" i="5"/>
  <c r="J13" i="5"/>
  <c r="I13" i="5"/>
  <c r="K10" i="5"/>
  <c r="N11" i="5"/>
  <c r="P11" i="5" s="1"/>
  <c r="Q11" i="5" s="1"/>
  <c r="Q13" i="5" s="1"/>
  <c r="N10" i="5"/>
  <c r="M13" i="5"/>
  <c r="C39" i="4"/>
  <c r="C41" i="4" s="1"/>
  <c r="C30" i="4"/>
  <c r="D30" i="4" s="1"/>
  <c r="H12" i="4"/>
  <c r="G12" i="4"/>
  <c r="F12" i="4"/>
  <c r="E12" i="4"/>
  <c r="D12" i="4"/>
  <c r="C12" i="4"/>
  <c r="H11" i="4"/>
  <c r="G11" i="4"/>
  <c r="F11" i="4"/>
  <c r="F13" i="4" s="1"/>
  <c r="E11" i="4"/>
  <c r="D11" i="4"/>
  <c r="C11" i="4"/>
  <c r="H10" i="4"/>
  <c r="G10" i="4"/>
  <c r="F10" i="4"/>
  <c r="E10" i="4"/>
  <c r="D10" i="4"/>
  <c r="C10" i="4"/>
  <c r="C13" i="4" s="1"/>
  <c r="Q12" i="6" l="1"/>
  <c r="Q13" i="6" s="1"/>
  <c r="E13" i="4"/>
  <c r="C31" i="4"/>
  <c r="D31" i="4" s="1"/>
  <c r="H13" i="4"/>
  <c r="D13" i="4"/>
  <c r="L13" i="6"/>
  <c r="N13" i="6"/>
  <c r="O12" i="6"/>
  <c r="M12" i="6" s="1"/>
  <c r="L12" i="6"/>
  <c r="S12" i="6"/>
  <c r="T12" i="6" s="1"/>
  <c r="S10" i="6"/>
  <c r="U10" i="6" s="1"/>
  <c r="R13" i="6"/>
  <c r="E31" i="6"/>
  <c r="P12" i="6"/>
  <c r="P13" i="6" s="1"/>
  <c r="U12" i="6"/>
  <c r="O13" i="6"/>
  <c r="M10" i="6"/>
  <c r="P13" i="5"/>
  <c r="N34" i="5"/>
  <c r="N32" i="5"/>
  <c r="N12" i="5"/>
  <c r="L12" i="5" s="1"/>
  <c r="K12" i="5"/>
  <c r="K13" i="5" s="1"/>
  <c r="L10" i="5"/>
  <c r="C40" i="4"/>
  <c r="G13" i="4"/>
  <c r="V10" i="6" l="1"/>
  <c r="M13" i="6"/>
  <c r="S13" i="6"/>
  <c r="T10" i="6"/>
  <c r="T13" i="6" s="1"/>
  <c r="V12" i="6"/>
  <c r="V13" i="6" s="1"/>
  <c r="P16" i="6"/>
  <c r="Q16" i="6"/>
  <c r="R16" i="6"/>
  <c r="U13" i="6"/>
  <c r="P32" i="5"/>
  <c r="Q32" i="5"/>
  <c r="O32" i="5"/>
  <c r="Q34" i="5"/>
  <c r="O34" i="5"/>
  <c r="P34" i="5"/>
  <c r="N13" i="5"/>
  <c r="N35" i="5"/>
  <c r="L13" i="5"/>
  <c r="P35" i="5" l="1"/>
  <c r="O35" i="5"/>
  <c r="Q35" i="5"/>
  <c r="O16" i="5"/>
  <c r="P16" i="5"/>
  <c r="Q16" i="5"/>
</calcChain>
</file>

<file path=xl/sharedStrings.xml><?xml version="1.0" encoding="utf-8"?>
<sst xmlns="http://schemas.openxmlformats.org/spreadsheetml/2006/main" count="164" uniqueCount="77">
  <si>
    <t>№ п/п</t>
  </si>
  <si>
    <t>Наименование</t>
  </si>
  <si>
    <t xml:space="preserve">ООО СМО "Восточно-страховой альянс" </t>
  </si>
  <si>
    <t>ООО "Страховая компания "ВСК - Милосердие" Дальневосточный филиал</t>
  </si>
  <si>
    <t>СМО ЗАО "Страховая группа "Спасские ворота-М", филиал "Владивостокский"</t>
  </si>
  <si>
    <t>Итого:</t>
  </si>
  <si>
    <t>перечислено по диф.подуш.нормативу</t>
  </si>
  <si>
    <t>2012 г.</t>
  </si>
  <si>
    <t>2013 г.</t>
  </si>
  <si>
    <t>сумма к перечислению по диф.подуш.нормативу</t>
  </si>
  <si>
    <t xml:space="preserve"> * в соответствии с п. 18 статьи 38 Федерального закона "Об обязательном медицинском страховании в Российской Федерации" от 29.11.2010 № 326-ФЗ норматив на ведение дела СМО предусмотрен в размере не менее одного процента и не более двух процентов от суммы средств, поступивших в страховую медицинскую организацию по дифференцированным подушевым нормативам (норматив на ведение дела на 2010, 2011 годы утвержден решениями заседания правления ГУ ТФОМС ПК, на 2012 год - Законом о бюджете ТФОМС ПК на 2012 год от 18.11.2011 № 849-КЗ)</t>
  </si>
  <si>
    <t>2014 г.</t>
  </si>
  <si>
    <t>Факт (январь-август)</t>
  </si>
  <si>
    <t>Расчетно (сентябрь-декабрь)</t>
  </si>
  <si>
    <t xml:space="preserve">2015 г. </t>
  </si>
  <si>
    <t>ИТОГО (январь-декабрь)</t>
  </si>
  <si>
    <t>Для расчете норматива на ведение дела сумма перечисления средств в СМО в 2015 году составила:</t>
  </si>
  <si>
    <t>Нормированный страховой запас в законе о бюджете  ТФОМС К на 2015 год принят из расчета 3-недельного объема НСЗ в сумме 1 261 971,88 тыс.руб.</t>
  </si>
  <si>
    <t>Примечание: расчет произведен 10.09.2015. Субвенция в законе о бюджете ТФОМС ПК на 2015 год  составляет  22 328 921,1 тыс.рублей, из НСЗ ФФОМС получено дополнительно  368 899,5 тыс.руб.,в том числе на выполнение терпрограммы 138 521,6 тыс.руб.  Всего субвенция  для расчета 22 467 442,7 тыс.руб.</t>
  </si>
  <si>
    <t xml:space="preserve">где: 225380,0 - расходы на АУП  ГУ ТФОМС ПК,  1261971,88 - расчетный 3-хнедельный пормированный страховой запас на 2015 год </t>
  </si>
  <si>
    <t>Погашение основного долга за Гсомедстрах 68 374,0 тыс. рублей</t>
  </si>
  <si>
    <t xml:space="preserve"> -</t>
  </si>
  <si>
    <t xml:space="preserve"> - </t>
  </si>
  <si>
    <t>22467442,7 - 68 374,0 -1261971,88- 225380,00 = 20 911 716,82  тыс.рублей,</t>
  </si>
  <si>
    <t>20911716,82 -268363,59=20643353,23 - сумма к перечислению по дифференцированному</t>
  </si>
  <si>
    <t>20911716,82/101,3* 1,3=268363,59 тыс.руб. - ведение дела</t>
  </si>
  <si>
    <t>АУП 225 380,00 тыс.руб</t>
  </si>
  <si>
    <t>СП-В 24%</t>
  </si>
  <si>
    <t>ВСА 76%</t>
  </si>
  <si>
    <t>диф.</t>
  </si>
  <si>
    <t>вд</t>
  </si>
  <si>
    <t>По расчету 0,6%</t>
  </si>
  <si>
    <t>СПРАВОЧНО :</t>
  </si>
  <si>
    <t>разница с графой 14:</t>
  </si>
  <si>
    <t>Субвенция 2016 год:</t>
  </si>
  <si>
    <t>НСЗ</t>
  </si>
  <si>
    <t>АУП</t>
  </si>
  <si>
    <t>2015 год</t>
  </si>
  <si>
    <t>2016г.</t>
  </si>
  <si>
    <t>ПРОГНОЗ</t>
  </si>
  <si>
    <t>Для расчете норматива на ведение дела сумма перечисления средств в СМО в 2016 году составила:</t>
  </si>
  <si>
    <t>РВД</t>
  </si>
  <si>
    <t>Диф.</t>
  </si>
  <si>
    <t>к распределению</t>
  </si>
  <si>
    <t>тыс.руб.</t>
  </si>
  <si>
    <t>СМО</t>
  </si>
  <si>
    <t>СМО АО "Страховая группа "Спасские ворота-М", филиал "Владивостокский"</t>
  </si>
  <si>
    <r>
      <t xml:space="preserve">на ведение дела </t>
    </r>
    <r>
      <rPr>
        <b/>
        <sz val="14"/>
        <color theme="1"/>
        <rFont val="Times New Roman"/>
        <family val="1"/>
        <charset val="204"/>
      </rPr>
      <t xml:space="preserve"> 1,1% </t>
    </r>
  </si>
  <si>
    <r>
      <t xml:space="preserve">на ведение дела </t>
    </r>
    <r>
      <rPr>
        <b/>
        <sz val="14"/>
        <color theme="1"/>
        <rFont val="Times New Roman"/>
        <family val="1"/>
        <charset val="204"/>
      </rPr>
      <t xml:space="preserve"> 1,2% </t>
    </r>
  </si>
  <si>
    <r>
      <t xml:space="preserve">на ведение дела </t>
    </r>
    <r>
      <rPr>
        <b/>
        <sz val="14"/>
        <color theme="1"/>
        <rFont val="Times New Roman"/>
        <family val="1"/>
        <charset val="204"/>
      </rPr>
      <t xml:space="preserve"> 1,3% </t>
    </r>
  </si>
  <si>
    <t xml:space="preserve">отчислено на ведение дела (1,5%) </t>
  </si>
  <si>
    <t>на ведение дела  1,1% (январь-апрель), 1,3% (май-январь)</t>
  </si>
  <si>
    <t>на ведение дела (1,3%)</t>
  </si>
  <si>
    <t>на ведение дела (1,%)</t>
  </si>
  <si>
    <t xml:space="preserve">на ведение дела (1,1%) </t>
  </si>
  <si>
    <t>на ведение дела (1,2%) **</t>
  </si>
  <si>
    <r>
      <t xml:space="preserve">на ведение дела </t>
    </r>
    <r>
      <rPr>
        <b/>
        <sz val="16"/>
        <color theme="1"/>
        <rFont val="Times New Roman"/>
        <family val="1"/>
        <charset val="204"/>
      </rPr>
      <t xml:space="preserve">(1,3%) </t>
    </r>
  </si>
  <si>
    <t xml:space="preserve">отчислено на ведение дела (2%) </t>
  </si>
  <si>
    <t xml:space="preserve">** Норматив на ведение дела расчитывается согласно Методическим рекомендациям "О расчете норматива расходов на ведение дела страховых медицинских организаций, осуществляющих деятельность в сфере обязательного медицинского страхования" от 15.06.2012 № 4320/30-3/и </t>
  </si>
  <si>
    <t>ТЫС. РУБ</t>
  </si>
  <si>
    <t>ТЫС.РУБ</t>
  </si>
  <si>
    <t>Расчетно (сентябрь-декабрь) по действующему нормативу</t>
  </si>
  <si>
    <t>тыс.руб</t>
  </si>
  <si>
    <t>2016 год</t>
  </si>
  <si>
    <r>
      <t xml:space="preserve">на ведение дела </t>
    </r>
    <r>
      <rPr>
        <b/>
        <sz val="18"/>
        <color theme="1"/>
        <rFont val="Times New Roman"/>
        <family val="1"/>
        <charset val="204"/>
      </rPr>
      <t xml:space="preserve">(1,3%) </t>
    </r>
  </si>
  <si>
    <r>
      <t xml:space="preserve">на ведение дела </t>
    </r>
    <r>
      <rPr>
        <b/>
        <sz val="18"/>
        <color theme="1"/>
        <rFont val="Times New Roman"/>
        <family val="1"/>
        <charset val="204"/>
      </rPr>
      <t xml:space="preserve"> 1,1% </t>
    </r>
  </si>
  <si>
    <r>
      <t xml:space="preserve">на ведение дела </t>
    </r>
    <r>
      <rPr>
        <b/>
        <sz val="18"/>
        <color theme="1"/>
        <rFont val="Times New Roman"/>
        <family val="1"/>
        <charset val="204"/>
      </rPr>
      <t xml:space="preserve"> 1,2% </t>
    </r>
  </si>
  <si>
    <r>
      <t xml:space="preserve">на ведение дела </t>
    </r>
    <r>
      <rPr>
        <b/>
        <sz val="18"/>
        <color theme="1"/>
        <rFont val="Times New Roman"/>
        <family val="1"/>
        <charset val="204"/>
      </rPr>
      <t xml:space="preserve"> 1,3% </t>
    </r>
  </si>
  <si>
    <t>2015 год*</t>
  </si>
  <si>
    <t xml:space="preserve">на ведение дела (1,2%) </t>
  </si>
  <si>
    <r>
      <t xml:space="preserve">* Норматив на ведение дела, рассчитанный согласно Методическим рекомендациям "О расчете норматива расходов на ведение дела страховых медицинских организаций, осуществляющих деятельность в сфере обязательного медицинского страхования" от 15.06.2012 № 4320/30-3/и  равен </t>
    </r>
    <r>
      <rPr>
        <b/>
        <sz val="18"/>
        <color theme="1"/>
        <rFont val="Times New Roman"/>
        <family val="1"/>
        <charset val="204"/>
      </rPr>
      <t>на 2015 год</t>
    </r>
    <r>
      <rPr>
        <sz val="18"/>
        <color theme="1"/>
        <rFont val="Times New Roman"/>
        <family val="1"/>
        <charset val="204"/>
      </rPr>
      <t xml:space="preserve"> - </t>
    </r>
    <r>
      <rPr>
        <b/>
        <sz val="20"/>
        <color theme="1"/>
        <rFont val="Times New Roman"/>
        <family val="1"/>
        <charset val="204"/>
      </rPr>
      <t>0,6%:</t>
    </r>
  </si>
  <si>
    <t>ПРОГНОЗ объемов денежных средств на ведение дела СМО на 2015-2016 годы</t>
  </si>
  <si>
    <t>Объемы денежных средств направленные в СМО на оплату медицинской помощи и на ведение дела страховых медицинских организаций в 2012-2014 гг</t>
  </si>
  <si>
    <t>Объемы денежных средств на оплату медицинской помощи и на ведение дела СМО в 2015 году</t>
  </si>
  <si>
    <t>2012 год</t>
  </si>
  <si>
    <t>2013 год</t>
  </si>
  <si>
    <t>2014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</si>
</sst>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Times New Roman"/>
      <family val="2"/>
      <charset val="204"/>
    </font>
    <font>
      <sz val="10"/>
      <name val="Arial Cyr"/>
    </font>
    <font>
      <b/>
      <sz val="12"/>
      <name val="Times New Roman"/>
      <family val="1"/>
      <charset val="204"/>
    </font>
    <font>
      <b/>
      <sz val="16"/>
      <color theme="1"/>
      <name val="Times New Roman"/>
      <family val="1"/>
      <charset val="204"/>
    </font>
    <font>
      <b/>
      <sz val="14"/>
      <color theme="1"/>
      <name val="Times New Roman"/>
      <family val="1"/>
      <charset val="204"/>
    </font>
    <font>
      <b/>
      <sz val="14"/>
      <name val="Times New Roman"/>
      <family val="1"/>
      <charset val="204"/>
    </font>
    <font>
      <b/>
      <sz val="14"/>
      <name val="Times New Roman Cyr"/>
      <charset val="204"/>
    </font>
    <font>
      <b/>
      <sz val="16"/>
      <name val="Times New Roman"/>
      <family val="1"/>
      <charset val="204"/>
    </font>
    <font>
      <sz val="14"/>
      <name val="Times New Roman"/>
      <family val="1"/>
      <charset val="204"/>
    </font>
    <font>
      <sz val="14"/>
      <color theme="1"/>
      <name val="Times New Roman"/>
      <family val="2"/>
      <charset val="204"/>
    </font>
    <font>
      <sz val="16"/>
      <color theme="1"/>
      <name val="Times New Roman"/>
      <family val="2"/>
      <charset val="204"/>
    </font>
    <font>
      <b/>
      <i/>
      <sz val="16"/>
      <name val="Times New Roman"/>
      <family val="1"/>
      <charset val="204"/>
    </font>
    <font>
      <b/>
      <i/>
      <sz val="14"/>
      <name val="Times New Roman"/>
      <family val="1"/>
      <charset val="204"/>
    </font>
    <font>
      <b/>
      <sz val="18"/>
      <color theme="1"/>
      <name val="Times New Roman"/>
      <family val="1"/>
      <charset val="204"/>
    </font>
    <font>
      <sz val="18"/>
      <color theme="1"/>
      <name val="Times New Roman"/>
      <family val="1"/>
      <charset val="204"/>
    </font>
    <font>
      <b/>
      <sz val="14"/>
      <color theme="1"/>
      <name val="Times New Roman"/>
      <family val="2"/>
      <charset val="204"/>
    </font>
    <font>
      <b/>
      <sz val="20"/>
      <name val="Times New Roman"/>
      <family val="1"/>
      <charset val="204"/>
    </font>
    <font>
      <b/>
      <sz val="20"/>
      <name val="Times New Roman Cyr"/>
      <charset val="204"/>
    </font>
    <font>
      <sz val="16"/>
      <name val="Times New Roman"/>
      <family val="1"/>
      <charset val="204"/>
    </font>
    <font>
      <b/>
      <i/>
      <sz val="16"/>
      <color theme="1"/>
      <name val="Times New Roman"/>
      <family val="1"/>
      <charset val="204"/>
    </font>
    <font>
      <sz val="16"/>
      <color theme="1"/>
      <name val="Times New Roman"/>
      <family val="1"/>
      <charset val="204"/>
    </font>
    <font>
      <sz val="18"/>
      <color theme="1"/>
      <name val="Times New Roman"/>
      <family val="2"/>
      <charset val="204"/>
    </font>
    <font>
      <b/>
      <sz val="18"/>
      <color theme="1"/>
      <name val="Times New Roman"/>
      <family val="2"/>
      <charset val="204"/>
    </font>
    <font>
      <sz val="22"/>
      <color theme="1"/>
      <name val="Times New Roman"/>
      <family val="2"/>
      <charset val="204"/>
    </font>
    <font>
      <b/>
      <sz val="20"/>
      <color theme="1"/>
      <name val="Times New Roman"/>
      <family val="1"/>
      <charset val="204"/>
    </font>
    <font>
      <b/>
      <sz val="22"/>
      <color theme="1"/>
      <name val="Times New Roman"/>
      <family val="1"/>
      <charset val="204"/>
    </font>
    <font>
      <sz val="18"/>
      <name val="Times New Roman"/>
      <family val="1"/>
      <charset val="204"/>
    </font>
    <font>
      <b/>
      <sz val="18"/>
      <name val="Times New Roman"/>
      <family val="1"/>
      <charset val="204"/>
    </font>
    <font>
      <b/>
      <sz val="18"/>
      <name val="Times New Roman Cyr"/>
      <charset val="204"/>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s>
  <borders count="4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294">
    <xf numFmtId="0" fontId="0" fillId="0" borderId="0" xfId="0"/>
    <xf numFmtId="0" fontId="0" fillId="0" borderId="0" xfId="0" applyAlignment="1">
      <alignment horizontal="center"/>
    </xf>
    <xf numFmtId="4" fontId="0" fillId="0" borderId="0" xfId="0" applyNumberFormat="1"/>
    <xf numFmtId="0" fontId="0" fillId="2" borderId="0" xfId="0" applyFill="1" applyBorder="1"/>
    <xf numFmtId="0" fontId="0" fillId="0" borderId="24" xfId="0" applyBorder="1"/>
    <xf numFmtId="0" fontId="2" fillId="0" borderId="4" xfId="0" applyFont="1" applyBorder="1" applyAlignment="1">
      <alignment horizontal="center" vertical="center"/>
    </xf>
    <xf numFmtId="4" fontId="6" fillId="0" borderId="24" xfId="0" applyNumberFormat="1" applyFont="1" applyFill="1" applyBorder="1" applyAlignment="1">
      <alignment horizontal="center" vertical="center"/>
    </xf>
    <xf numFmtId="4" fontId="6" fillId="2" borderId="24" xfId="0" applyNumberFormat="1" applyFont="1" applyFill="1" applyBorder="1" applyAlignment="1">
      <alignment horizontal="center" vertical="center"/>
    </xf>
    <xf numFmtId="0" fontId="9" fillId="0" borderId="0" xfId="0" applyFont="1"/>
    <xf numFmtId="4" fontId="12" fillId="4" borderId="4" xfId="0" applyNumberFormat="1" applyFont="1" applyFill="1" applyBorder="1" applyAlignment="1">
      <alignment horizontal="center" vertical="center"/>
    </xf>
    <xf numFmtId="0" fontId="14" fillId="0" borderId="0" xfId="0" applyFont="1"/>
    <xf numFmtId="0" fontId="4" fillId="0" borderId="0" xfId="0" applyFont="1"/>
    <xf numFmtId="4" fontId="4" fillId="0" borderId="0" xfId="0" applyNumberFormat="1" applyFont="1"/>
    <xf numFmtId="4" fontId="6" fillId="2" borderId="21" xfId="0" applyNumberFormat="1" applyFont="1" applyFill="1" applyBorder="1" applyAlignment="1">
      <alignment horizontal="center" vertical="center"/>
    </xf>
    <xf numFmtId="0" fontId="13" fillId="2" borderId="0" xfId="0" applyFont="1" applyFill="1" applyBorder="1" applyAlignment="1">
      <alignment horizontal="center" vertical="center"/>
    </xf>
    <xf numFmtId="0" fontId="9" fillId="0" borderId="4" xfId="0" applyFont="1" applyBorder="1" applyAlignment="1">
      <alignment horizontal="center"/>
    </xf>
    <xf numFmtId="0" fontId="9" fillId="2" borderId="21" xfId="0" applyFont="1" applyFill="1" applyBorder="1" applyAlignment="1">
      <alignment horizontal="center"/>
    </xf>
    <xf numFmtId="0" fontId="15" fillId="3" borderId="4" xfId="0" applyFont="1" applyFill="1" applyBorder="1" applyAlignment="1">
      <alignment horizontal="center"/>
    </xf>
    <xf numFmtId="0" fontId="9" fillId="0" borderId="16" xfId="0" applyFont="1" applyBorder="1" applyAlignment="1">
      <alignment wrapText="1"/>
    </xf>
    <xf numFmtId="4" fontId="9" fillId="2" borderId="17" xfId="0" applyNumberFormat="1" applyFont="1" applyFill="1" applyBorder="1" applyAlignment="1">
      <alignment horizontal="center" vertical="center"/>
    </xf>
    <xf numFmtId="4" fontId="5" fillId="3" borderId="16" xfId="0" applyNumberFormat="1" applyFont="1" applyFill="1" applyBorder="1" applyAlignment="1">
      <alignment horizontal="center" vertical="center"/>
    </xf>
    <xf numFmtId="0" fontId="9" fillId="0" borderId="4" xfId="0" applyFont="1" applyBorder="1"/>
    <xf numFmtId="4" fontId="16" fillId="3" borderId="4" xfId="0" applyNumberFormat="1" applyFont="1" applyFill="1" applyBorder="1" applyAlignment="1">
      <alignment horizontal="center" vertical="center"/>
    </xf>
    <xf numFmtId="4" fontId="17" fillId="3" borderId="24" xfId="0" applyNumberFormat="1" applyFont="1" applyFill="1" applyBorder="1" applyAlignment="1">
      <alignment horizontal="center" vertical="center"/>
    </xf>
    <xf numFmtId="4" fontId="17" fillId="3" borderId="4" xfId="0" applyNumberFormat="1" applyFont="1" applyFill="1" applyBorder="1" applyAlignment="1">
      <alignment horizontal="center" vertical="center"/>
    </xf>
    <xf numFmtId="0" fontId="20" fillId="0" borderId="24" xfId="0" applyFont="1" applyBorder="1" applyAlignment="1">
      <alignment horizontal="center"/>
    </xf>
    <xf numFmtId="0" fontId="18" fillId="0" borderId="4" xfId="0" applyFont="1" applyBorder="1" applyAlignment="1">
      <alignment horizontal="center"/>
    </xf>
    <xf numFmtId="0" fontId="3" fillId="3" borderId="4" xfId="0" applyFont="1" applyFill="1" applyBorder="1" applyAlignment="1">
      <alignment horizontal="center"/>
    </xf>
    <xf numFmtId="0" fontId="20" fillId="2" borderId="24" xfId="0" applyFont="1" applyFill="1" applyBorder="1" applyAlignment="1">
      <alignment horizontal="center"/>
    </xf>
    <xf numFmtId="0" fontId="3" fillId="3" borderId="24" xfId="0" applyFont="1" applyFill="1" applyBorder="1" applyAlignment="1">
      <alignment horizontal="center"/>
    </xf>
    <xf numFmtId="0" fontId="20" fillId="2" borderId="18" xfId="0" applyFont="1" applyFill="1" applyBorder="1" applyAlignment="1">
      <alignment horizontal="center"/>
    </xf>
    <xf numFmtId="0" fontId="20" fillId="2" borderId="19" xfId="0" applyFont="1" applyFill="1" applyBorder="1" applyAlignment="1">
      <alignment horizontal="center"/>
    </xf>
    <xf numFmtId="0" fontId="18" fillId="2" borderId="19" xfId="0" applyFont="1" applyFill="1" applyBorder="1" applyAlignment="1">
      <alignment horizontal="center" vertical="center" wrapText="1"/>
    </xf>
    <xf numFmtId="0" fontId="18" fillId="2" borderId="20" xfId="0" applyFont="1" applyFill="1" applyBorder="1" applyAlignment="1">
      <alignment horizontal="center" vertical="center"/>
    </xf>
    <xf numFmtId="0" fontId="18" fillId="2" borderId="4" xfId="0" applyFont="1" applyFill="1" applyBorder="1" applyAlignment="1">
      <alignment horizontal="center" vertical="center" wrapText="1"/>
    </xf>
    <xf numFmtId="0" fontId="7" fillId="3" borderId="33" xfId="0" applyFont="1" applyFill="1" applyBorder="1" applyAlignment="1">
      <alignment horizontal="center" vertical="center"/>
    </xf>
    <xf numFmtId="0" fontId="11" fillId="4" borderId="4" xfId="0" applyFont="1" applyFill="1" applyBorder="1" applyAlignment="1">
      <alignment horizontal="center" vertical="center"/>
    </xf>
    <xf numFmtId="0" fontId="20" fillId="0" borderId="25" xfId="0" applyFont="1" applyBorder="1" applyAlignment="1">
      <alignment horizontal="center" vertical="center"/>
    </xf>
    <xf numFmtId="0" fontId="18" fillId="0" borderId="10" xfId="1" applyNumberFormat="1" applyFont="1" applyBorder="1" applyAlignment="1">
      <alignment vertical="center" wrapText="1"/>
    </xf>
    <xf numFmtId="4" fontId="18" fillId="0" borderId="25" xfId="0" applyNumberFormat="1" applyFont="1" applyFill="1" applyBorder="1" applyAlignment="1">
      <alignment horizontal="center" vertical="center"/>
    </xf>
    <xf numFmtId="4" fontId="7" fillId="3" borderId="10" xfId="0" applyNumberFormat="1" applyFont="1" applyFill="1" applyBorder="1" applyAlignment="1">
      <alignment horizontal="center" vertical="center"/>
    </xf>
    <xf numFmtId="4" fontId="20" fillId="0" borderId="25" xfId="0" applyNumberFormat="1" applyFont="1" applyBorder="1" applyAlignment="1">
      <alignment horizontal="center" vertical="center"/>
    </xf>
    <xf numFmtId="4" fontId="3" fillId="3" borderId="10" xfId="0" applyNumberFormat="1" applyFont="1" applyFill="1" applyBorder="1" applyAlignment="1">
      <alignment horizontal="center" vertical="center"/>
    </xf>
    <xf numFmtId="4" fontId="20" fillId="2" borderId="25" xfId="0" applyNumberFormat="1" applyFont="1" applyFill="1" applyBorder="1" applyAlignment="1">
      <alignment horizontal="center" vertical="center"/>
    </xf>
    <xf numFmtId="4" fontId="7" fillId="3" borderId="25" xfId="0" applyNumberFormat="1" applyFont="1" applyFill="1" applyBorder="1" applyAlignment="1">
      <alignment horizontal="center" vertical="center"/>
    </xf>
    <xf numFmtId="4" fontId="18" fillId="2" borderId="10" xfId="0" applyNumberFormat="1" applyFont="1" applyFill="1" applyBorder="1" applyAlignment="1">
      <alignment horizontal="center" vertical="center"/>
    </xf>
    <xf numFmtId="4" fontId="11" fillId="4" borderId="10" xfId="0" applyNumberFormat="1" applyFont="1" applyFill="1" applyBorder="1" applyAlignment="1">
      <alignment horizontal="center" vertical="center"/>
    </xf>
    <xf numFmtId="0" fontId="20" fillId="0" borderId="26" xfId="0" applyFont="1" applyBorder="1" applyAlignment="1">
      <alignment horizontal="center" vertical="center"/>
    </xf>
    <xf numFmtId="0" fontId="18" fillId="0" borderId="7" xfId="1" applyNumberFormat="1" applyFont="1" applyFill="1" applyBorder="1" applyAlignment="1">
      <alignment vertical="center" wrapText="1"/>
    </xf>
    <xf numFmtId="4" fontId="18" fillId="0" borderId="26" xfId="0" applyNumberFormat="1" applyFont="1" applyFill="1" applyBorder="1" applyAlignment="1">
      <alignment horizontal="center" vertical="center"/>
    </xf>
    <xf numFmtId="4" fontId="7" fillId="3" borderId="7" xfId="0" applyNumberFormat="1" applyFont="1" applyFill="1" applyBorder="1" applyAlignment="1">
      <alignment horizontal="center" vertical="center"/>
    </xf>
    <xf numFmtId="4" fontId="20" fillId="0" borderId="26" xfId="0" applyNumberFormat="1" applyFont="1" applyBorder="1" applyAlignment="1">
      <alignment horizontal="center" vertical="center"/>
    </xf>
    <xf numFmtId="4" fontId="3" fillId="3" borderId="7" xfId="0" applyNumberFormat="1" applyFont="1" applyFill="1" applyBorder="1" applyAlignment="1">
      <alignment horizontal="center" vertical="center"/>
    </xf>
    <xf numFmtId="4" fontId="20" fillId="2" borderId="26" xfId="0" applyNumberFormat="1" applyFont="1" applyFill="1" applyBorder="1" applyAlignment="1">
      <alignment horizontal="center" vertical="center"/>
    </xf>
    <xf numFmtId="4" fontId="7" fillId="3" borderId="26" xfId="0" applyNumberFormat="1" applyFont="1" applyFill="1" applyBorder="1" applyAlignment="1">
      <alignment horizontal="center" vertical="center"/>
    </xf>
    <xf numFmtId="0" fontId="20" fillId="0" borderId="23" xfId="0" applyFont="1" applyBorder="1" applyAlignment="1">
      <alignment horizontal="center" vertical="center"/>
    </xf>
    <xf numFmtId="0" fontId="18" fillId="0" borderId="16" xfId="1" applyNumberFormat="1" applyFont="1" applyFill="1" applyBorder="1" applyAlignment="1">
      <alignment vertical="center" wrapText="1"/>
    </xf>
    <xf numFmtId="4" fontId="18" fillId="0" borderId="23" xfId="0" applyNumberFormat="1" applyFont="1" applyFill="1" applyBorder="1" applyAlignment="1">
      <alignment horizontal="center" vertical="center"/>
    </xf>
    <xf numFmtId="4" fontId="7" fillId="3" borderId="16" xfId="0" applyNumberFormat="1" applyFont="1" applyFill="1" applyBorder="1" applyAlignment="1">
      <alignment horizontal="center" vertical="center"/>
    </xf>
    <xf numFmtId="4" fontId="20" fillId="0" borderId="23" xfId="0" applyNumberFormat="1" applyFont="1" applyBorder="1" applyAlignment="1">
      <alignment horizontal="center" vertical="center"/>
    </xf>
    <xf numFmtId="4" fontId="3" fillId="3" borderId="16" xfId="0" applyNumberFormat="1" applyFont="1" applyFill="1" applyBorder="1" applyAlignment="1">
      <alignment horizontal="center" vertical="center"/>
    </xf>
    <xf numFmtId="4" fontId="20" fillId="2" borderId="23" xfId="0" applyNumberFormat="1" applyFont="1" applyFill="1" applyBorder="1" applyAlignment="1">
      <alignment horizontal="center" vertical="center"/>
    </xf>
    <xf numFmtId="4" fontId="7" fillId="3" borderId="23" xfId="0" applyNumberFormat="1" applyFont="1" applyFill="1" applyBorder="1" applyAlignment="1">
      <alignment horizontal="center" vertical="center"/>
    </xf>
    <xf numFmtId="4" fontId="18" fillId="2" borderId="32" xfId="0" applyNumberFormat="1" applyFont="1" applyFill="1" applyBorder="1" applyAlignment="1">
      <alignment horizontal="center" vertical="center"/>
    </xf>
    <xf numFmtId="0" fontId="13" fillId="0" borderId="0" xfId="0" applyFont="1"/>
    <xf numFmtId="4" fontId="14" fillId="0" borderId="0" xfId="0" applyNumberFormat="1" applyFont="1"/>
    <xf numFmtId="0" fontId="10" fillId="0" borderId="0" xfId="0" applyFont="1" applyAlignment="1">
      <alignment horizontal="left"/>
    </xf>
    <xf numFmtId="0" fontId="10" fillId="0" borderId="0" xfId="0" applyFont="1" applyAlignment="1">
      <alignment horizontal="left" wrapText="1"/>
    </xf>
    <xf numFmtId="0" fontId="10" fillId="0" borderId="0" xfId="0" applyFont="1"/>
    <xf numFmtId="4" fontId="10" fillId="0" borderId="0" xfId="0" applyNumberFormat="1" applyFont="1"/>
    <xf numFmtId="0" fontId="21" fillId="0" borderId="0" xfId="0" applyFont="1"/>
    <xf numFmtId="4" fontId="21" fillId="0" borderId="0" xfId="0" applyNumberFormat="1" applyFont="1"/>
    <xf numFmtId="0" fontId="22" fillId="0" borderId="0" xfId="0" applyFont="1"/>
    <xf numFmtId="4" fontId="7" fillId="2" borderId="4" xfId="0" applyNumberFormat="1" applyFont="1" applyFill="1" applyBorder="1" applyAlignment="1">
      <alignment horizontal="center" vertical="center"/>
    </xf>
    <xf numFmtId="0" fontId="23" fillId="2" borderId="0" xfId="0" applyFont="1" applyFill="1" applyBorder="1" applyAlignment="1">
      <alignment horizontal="center"/>
    </xf>
    <xf numFmtId="0" fontId="10" fillId="2" borderId="18" xfId="0" applyFont="1" applyFill="1" applyBorder="1" applyAlignment="1">
      <alignment horizontal="center" vertical="center" wrapText="1"/>
    </xf>
    <xf numFmtId="4" fontId="10" fillId="0" borderId="19" xfId="0" applyNumberFormat="1" applyFont="1" applyBorder="1" applyAlignment="1">
      <alignment vertical="center"/>
    </xf>
    <xf numFmtId="4" fontId="10" fillId="0" borderId="46" xfId="0" applyNumberFormat="1" applyFont="1" applyBorder="1" applyAlignment="1">
      <alignment vertical="center"/>
    </xf>
    <xf numFmtId="0" fontId="13" fillId="0" borderId="38" xfId="0" applyFont="1" applyBorder="1" applyAlignment="1">
      <alignment horizontal="center" vertical="center"/>
    </xf>
    <xf numFmtId="0" fontId="13" fillId="0" borderId="0" xfId="0" applyFont="1" applyBorder="1" applyAlignment="1">
      <alignment horizontal="center" vertical="center"/>
    </xf>
    <xf numFmtId="4" fontId="14" fillId="2" borderId="12" xfId="0" applyNumberFormat="1" applyFont="1" applyFill="1" applyBorder="1" applyAlignment="1">
      <alignment horizontal="center" vertical="center"/>
    </xf>
    <xf numFmtId="4" fontId="14" fillId="2" borderId="2" xfId="0" applyNumberFormat="1" applyFont="1" applyFill="1" applyBorder="1" applyAlignment="1">
      <alignment horizontal="center" vertical="center"/>
    </xf>
    <xf numFmtId="4" fontId="26" fillId="2" borderId="2" xfId="0" applyNumberFormat="1" applyFont="1" applyFill="1" applyBorder="1" applyAlignment="1">
      <alignment horizontal="center" vertical="center"/>
    </xf>
    <xf numFmtId="4" fontId="26" fillId="2" borderId="9" xfId="0" applyNumberFormat="1" applyFont="1" applyFill="1" applyBorder="1" applyAlignment="1">
      <alignment horizontal="center" vertical="center"/>
    </xf>
    <xf numFmtId="4" fontId="14" fillId="2" borderId="43" xfId="0" applyNumberFormat="1" applyFont="1" applyFill="1" applyBorder="1" applyAlignment="1">
      <alignment horizontal="center" vertical="center"/>
    </xf>
    <xf numFmtId="4" fontId="14" fillId="2" borderId="3" xfId="0" applyNumberFormat="1" applyFont="1" applyFill="1" applyBorder="1" applyAlignment="1">
      <alignment horizontal="center" vertical="center"/>
    </xf>
    <xf numFmtId="4" fontId="26" fillId="2" borderId="3" xfId="0" applyNumberFormat="1" applyFont="1" applyFill="1" applyBorder="1" applyAlignment="1">
      <alignment horizontal="center" vertical="center"/>
    </xf>
    <xf numFmtId="4" fontId="26" fillId="2" borderId="5" xfId="0" applyNumberFormat="1" applyFont="1" applyFill="1" applyBorder="1" applyAlignment="1">
      <alignment horizontal="center" vertical="center"/>
    </xf>
    <xf numFmtId="4" fontId="14" fillId="2" borderId="44" xfId="0" applyNumberFormat="1" applyFont="1" applyFill="1" applyBorder="1" applyAlignment="1">
      <alignment horizontal="center" vertical="center"/>
    </xf>
    <xf numFmtId="4" fontId="14" fillId="2" borderId="1" xfId="0" applyNumberFormat="1" applyFont="1" applyFill="1" applyBorder="1" applyAlignment="1">
      <alignment horizontal="center" vertical="center"/>
    </xf>
    <xf numFmtId="4" fontId="26" fillId="2" borderId="1" xfId="0" applyNumberFormat="1" applyFont="1" applyFill="1" applyBorder="1" applyAlignment="1">
      <alignment horizontal="center" vertical="center"/>
    </xf>
    <xf numFmtId="4" fontId="26" fillId="2" borderId="15" xfId="0" applyNumberFormat="1" applyFont="1" applyFill="1" applyBorder="1" applyAlignment="1">
      <alignment horizontal="center" vertical="center"/>
    </xf>
    <xf numFmtId="4" fontId="13" fillId="2" borderId="18" xfId="0" applyNumberFormat="1" applyFont="1" applyFill="1" applyBorder="1" applyAlignment="1">
      <alignment horizontal="center" vertical="center"/>
    </xf>
    <xf numFmtId="4" fontId="13" fillId="2" borderId="19" xfId="0" applyNumberFormat="1" applyFont="1" applyFill="1" applyBorder="1" applyAlignment="1">
      <alignment horizontal="center" vertical="center"/>
    </xf>
    <xf numFmtId="4" fontId="27" fillId="2" borderId="19" xfId="0" applyNumberFormat="1" applyFont="1" applyFill="1" applyBorder="1" applyAlignment="1">
      <alignment horizontal="center" vertical="center"/>
    </xf>
    <xf numFmtId="4" fontId="27" fillId="2" borderId="20" xfId="0" applyNumberFormat="1" applyFont="1" applyFill="1" applyBorder="1" applyAlignment="1">
      <alignment horizontal="center" vertical="center"/>
    </xf>
    <xf numFmtId="4" fontId="20" fillId="2" borderId="12" xfId="0" applyNumberFormat="1" applyFont="1" applyFill="1" applyBorder="1" applyAlignment="1">
      <alignment horizontal="center" vertical="center"/>
    </xf>
    <xf numFmtId="4" fontId="20" fillId="2" borderId="2" xfId="0" applyNumberFormat="1" applyFont="1" applyFill="1" applyBorder="1" applyAlignment="1">
      <alignment horizontal="center" vertical="center"/>
    </xf>
    <xf numFmtId="4" fontId="18" fillId="2" borderId="2" xfId="0" applyNumberFormat="1" applyFont="1" applyFill="1" applyBorder="1" applyAlignment="1">
      <alignment horizontal="center" vertical="center"/>
    </xf>
    <xf numFmtId="4" fontId="18" fillId="2" borderId="9" xfId="0" applyNumberFormat="1" applyFont="1" applyFill="1" applyBorder="1" applyAlignment="1">
      <alignment horizontal="center" vertical="center"/>
    </xf>
    <xf numFmtId="4" fontId="20" fillId="2" borderId="43" xfId="0" applyNumberFormat="1" applyFont="1" applyFill="1" applyBorder="1" applyAlignment="1">
      <alignment horizontal="center" vertical="center"/>
    </xf>
    <xf numFmtId="4" fontId="20" fillId="2" borderId="3" xfId="0" applyNumberFormat="1" applyFont="1" applyFill="1" applyBorder="1" applyAlignment="1">
      <alignment horizontal="center" vertical="center"/>
    </xf>
    <xf numFmtId="4" fontId="18" fillId="2" borderId="3" xfId="0" applyNumberFormat="1" applyFont="1" applyFill="1" applyBorder="1" applyAlignment="1">
      <alignment horizontal="center" vertical="center"/>
    </xf>
    <xf numFmtId="4" fontId="18" fillId="2" borderId="5" xfId="0" applyNumberFormat="1" applyFont="1" applyFill="1" applyBorder="1" applyAlignment="1">
      <alignment horizontal="center" vertical="center"/>
    </xf>
    <xf numFmtId="4" fontId="20" fillId="2" borderId="44" xfId="0" applyNumberFormat="1" applyFont="1" applyFill="1" applyBorder="1" applyAlignment="1">
      <alignment horizontal="center" vertical="center"/>
    </xf>
    <xf numFmtId="4" fontId="20" fillId="2" borderId="1"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4" fontId="18" fillId="2" borderId="15" xfId="0" applyNumberFormat="1" applyFont="1" applyFill="1" applyBorder="1" applyAlignment="1">
      <alignment horizontal="center" vertical="center"/>
    </xf>
    <xf numFmtId="4" fontId="3" fillId="2" borderId="18" xfId="0" applyNumberFormat="1" applyFont="1" applyFill="1" applyBorder="1" applyAlignment="1">
      <alignment horizontal="center" vertical="center"/>
    </xf>
    <xf numFmtId="4" fontId="3" fillId="2" borderId="19" xfId="0" applyNumberFormat="1" applyFont="1" applyFill="1" applyBorder="1" applyAlignment="1">
      <alignment horizontal="center" vertical="center"/>
    </xf>
    <xf numFmtId="4" fontId="7" fillId="2" borderId="19" xfId="0" applyNumberFormat="1" applyFont="1" applyFill="1" applyBorder="1" applyAlignment="1">
      <alignment horizontal="center" vertical="center"/>
    </xf>
    <xf numFmtId="4" fontId="7" fillId="2" borderId="20" xfId="0" applyNumberFormat="1" applyFont="1" applyFill="1" applyBorder="1" applyAlignment="1">
      <alignment horizontal="center" vertical="center"/>
    </xf>
    <xf numFmtId="0" fontId="7" fillId="0" borderId="4" xfId="0" applyFont="1" applyBorder="1" applyAlignment="1">
      <alignment horizontal="center" vertical="center"/>
    </xf>
    <xf numFmtId="0" fontId="14" fillId="0" borderId="24" xfId="0" applyFont="1" applyBorder="1" applyAlignment="1">
      <alignment horizontal="center"/>
    </xf>
    <xf numFmtId="0" fontId="26" fillId="0" borderId="4" xfId="0" applyFont="1" applyBorder="1" applyAlignment="1">
      <alignment horizontal="center"/>
    </xf>
    <xf numFmtId="0" fontId="13" fillId="3" borderId="4" xfId="0" applyFont="1" applyFill="1" applyBorder="1" applyAlignment="1">
      <alignment horizontal="center"/>
    </xf>
    <xf numFmtId="0" fontId="14" fillId="2" borderId="24" xfId="0" applyFont="1" applyFill="1" applyBorder="1" applyAlignment="1">
      <alignment horizontal="center"/>
    </xf>
    <xf numFmtId="0" fontId="13" fillId="3" borderId="24" xfId="0" applyFont="1" applyFill="1" applyBorder="1" applyAlignment="1">
      <alignment horizontal="center"/>
    </xf>
    <xf numFmtId="0" fontId="14" fillId="2" borderId="18" xfId="0" applyFont="1" applyFill="1" applyBorder="1" applyAlignment="1">
      <alignment horizontal="center"/>
    </xf>
    <xf numFmtId="0" fontId="14" fillId="2" borderId="19" xfId="0" applyFont="1" applyFill="1" applyBorder="1" applyAlignment="1">
      <alignment horizontal="center"/>
    </xf>
    <xf numFmtId="0" fontId="26" fillId="2" borderId="19" xfId="0" applyFont="1" applyFill="1" applyBorder="1" applyAlignment="1">
      <alignment horizontal="center" vertical="center" wrapText="1"/>
    </xf>
    <xf numFmtId="0" fontId="26" fillId="2" borderId="20" xfId="0" applyFont="1" applyFill="1" applyBorder="1" applyAlignment="1">
      <alignment horizontal="center" vertical="center"/>
    </xf>
    <xf numFmtId="0" fontId="26" fillId="2" borderId="4" xfId="0" applyFont="1" applyFill="1" applyBorder="1" applyAlignment="1">
      <alignment horizontal="center" vertical="center" wrapText="1"/>
    </xf>
    <xf numFmtId="0" fontId="27" fillId="3" borderId="33" xfId="0" applyFont="1" applyFill="1" applyBorder="1" applyAlignment="1">
      <alignment horizontal="center" vertical="center"/>
    </xf>
    <xf numFmtId="0" fontId="27" fillId="4" borderId="4" xfId="0" applyFont="1" applyFill="1" applyBorder="1" applyAlignment="1">
      <alignment horizontal="center" vertical="center"/>
    </xf>
    <xf numFmtId="0" fontId="21" fillId="2" borderId="21" xfId="0" applyFont="1" applyFill="1" applyBorder="1" applyAlignment="1">
      <alignment horizontal="center"/>
    </xf>
    <xf numFmtId="0" fontId="22" fillId="3" borderId="4" xfId="0" applyFont="1" applyFill="1" applyBorder="1" applyAlignment="1">
      <alignment horizontal="center"/>
    </xf>
    <xf numFmtId="0" fontId="14" fillId="0" borderId="25" xfId="0" applyFont="1" applyBorder="1" applyAlignment="1">
      <alignment horizontal="center" vertical="center"/>
    </xf>
    <xf numFmtId="0" fontId="26" fillId="0" borderId="10" xfId="1" applyNumberFormat="1" applyFont="1" applyBorder="1" applyAlignment="1">
      <alignment vertical="center" wrapText="1"/>
    </xf>
    <xf numFmtId="4" fontId="26" fillId="0" borderId="25" xfId="0" applyNumberFormat="1" applyFont="1" applyFill="1" applyBorder="1" applyAlignment="1">
      <alignment horizontal="center" vertical="center"/>
    </xf>
    <xf numFmtId="4" fontId="27" fillId="3" borderId="10" xfId="0" applyNumberFormat="1" applyFont="1" applyFill="1" applyBorder="1" applyAlignment="1">
      <alignment horizontal="center" vertical="center"/>
    </xf>
    <xf numFmtId="4" fontId="14" fillId="0" borderId="25" xfId="0" applyNumberFormat="1" applyFont="1" applyBorder="1" applyAlignment="1">
      <alignment horizontal="center" vertical="center"/>
    </xf>
    <xf numFmtId="4" fontId="13" fillId="3" borderId="10" xfId="0" applyNumberFormat="1" applyFont="1" applyFill="1" applyBorder="1" applyAlignment="1">
      <alignment horizontal="center" vertical="center"/>
    </xf>
    <xf numFmtId="4" fontId="14" fillId="2" borderId="25" xfId="0" applyNumberFormat="1" applyFont="1" applyFill="1" applyBorder="1" applyAlignment="1">
      <alignment horizontal="center" vertical="center"/>
    </xf>
    <xf numFmtId="4" fontId="27" fillId="3" borderId="25" xfId="0" applyNumberFormat="1" applyFont="1" applyFill="1" applyBorder="1" applyAlignment="1">
      <alignment horizontal="center" vertical="center"/>
    </xf>
    <xf numFmtId="4" fontId="26" fillId="2" borderId="10" xfId="0" applyNumberFormat="1" applyFont="1" applyFill="1" applyBorder="1" applyAlignment="1">
      <alignment horizontal="center" vertical="center"/>
    </xf>
    <xf numFmtId="4" fontId="27" fillId="4" borderId="10" xfId="0" applyNumberFormat="1" applyFont="1" applyFill="1" applyBorder="1" applyAlignment="1">
      <alignment horizontal="center" vertical="center"/>
    </xf>
    <xf numFmtId="4" fontId="27" fillId="3" borderId="31" xfId="0" applyNumberFormat="1" applyFont="1" applyFill="1" applyBorder="1" applyAlignment="1">
      <alignment horizontal="center" vertical="center"/>
    </xf>
    <xf numFmtId="0" fontId="14" fillId="0" borderId="26" xfId="0" applyFont="1" applyBorder="1" applyAlignment="1">
      <alignment horizontal="center" vertical="center"/>
    </xf>
    <xf numFmtId="0" fontId="26" fillId="0" borderId="7" xfId="1" applyNumberFormat="1" applyFont="1" applyFill="1" applyBorder="1" applyAlignment="1">
      <alignment vertical="center" wrapText="1"/>
    </xf>
    <xf numFmtId="4" fontId="26" fillId="0" borderId="26" xfId="0" applyNumberFormat="1" applyFont="1" applyFill="1" applyBorder="1" applyAlignment="1">
      <alignment horizontal="center" vertical="center"/>
    </xf>
    <xf numFmtId="4" fontId="27" fillId="3" borderId="7" xfId="0" applyNumberFormat="1" applyFont="1" applyFill="1" applyBorder="1" applyAlignment="1">
      <alignment horizontal="center" vertical="center"/>
    </xf>
    <xf numFmtId="4" fontId="14" fillId="0" borderId="26" xfId="0" applyNumberFormat="1" applyFont="1" applyBorder="1" applyAlignment="1">
      <alignment horizontal="center" vertical="center"/>
    </xf>
    <xf numFmtId="4" fontId="13" fillId="3" borderId="7" xfId="0" applyNumberFormat="1" applyFont="1" applyFill="1" applyBorder="1" applyAlignment="1">
      <alignment horizontal="center" vertical="center"/>
    </xf>
    <xf numFmtId="4" fontId="14" fillId="2" borderId="26" xfId="0" applyNumberFormat="1" applyFont="1" applyFill="1" applyBorder="1" applyAlignment="1">
      <alignment horizontal="center" vertical="center"/>
    </xf>
    <xf numFmtId="4" fontId="27" fillId="3" borderId="26" xfId="0" applyNumberFormat="1" applyFont="1" applyFill="1" applyBorder="1" applyAlignment="1">
      <alignment horizontal="center" vertical="center"/>
    </xf>
    <xf numFmtId="0" fontId="14" fillId="0" borderId="23" xfId="0" applyFont="1" applyBorder="1" applyAlignment="1">
      <alignment horizontal="center" vertical="center"/>
    </xf>
    <xf numFmtId="0" fontId="26" fillId="0" borderId="16" xfId="1" applyNumberFormat="1" applyFont="1" applyFill="1" applyBorder="1" applyAlignment="1">
      <alignment vertical="center" wrapText="1"/>
    </xf>
    <xf numFmtId="4" fontId="26" fillId="0" borderId="23" xfId="0" applyNumberFormat="1" applyFont="1" applyFill="1" applyBorder="1" applyAlignment="1">
      <alignment horizontal="center" vertical="center"/>
    </xf>
    <xf numFmtId="4" fontId="27" fillId="3" borderId="16" xfId="0" applyNumberFormat="1" applyFont="1" applyFill="1" applyBorder="1" applyAlignment="1">
      <alignment horizontal="center" vertical="center"/>
    </xf>
    <xf numFmtId="4" fontId="14" fillId="0" borderId="23" xfId="0" applyNumberFormat="1" applyFont="1" applyBorder="1" applyAlignment="1">
      <alignment horizontal="center" vertical="center"/>
    </xf>
    <xf numFmtId="4" fontId="13" fillId="3" borderId="16" xfId="0" applyNumberFormat="1" applyFont="1" applyFill="1" applyBorder="1" applyAlignment="1">
      <alignment horizontal="center" vertical="center"/>
    </xf>
    <xf numFmtId="4" fontId="14" fillId="2" borderId="23" xfId="0" applyNumberFormat="1" applyFont="1" applyFill="1" applyBorder="1" applyAlignment="1">
      <alignment horizontal="center" vertical="center"/>
    </xf>
    <xf numFmtId="4" fontId="27" fillId="3" borderId="23" xfId="0" applyNumberFormat="1" applyFont="1" applyFill="1" applyBorder="1" applyAlignment="1">
      <alignment horizontal="center" vertical="center"/>
    </xf>
    <xf numFmtId="4" fontId="26" fillId="2" borderId="32" xfId="0" applyNumberFormat="1" applyFont="1" applyFill="1" applyBorder="1" applyAlignment="1">
      <alignment horizontal="center" vertical="center"/>
    </xf>
    <xf numFmtId="4" fontId="21" fillId="2" borderId="17" xfId="0" applyNumberFormat="1" applyFont="1" applyFill="1" applyBorder="1" applyAlignment="1">
      <alignment horizontal="center" vertical="center"/>
    </xf>
    <xf numFmtId="0" fontId="21" fillId="0" borderId="24" xfId="0" applyFont="1" applyBorder="1"/>
    <xf numFmtId="0" fontId="27" fillId="0" borderId="4" xfId="0" applyFont="1" applyBorder="1" applyAlignment="1">
      <alignment horizontal="center" vertical="center"/>
    </xf>
    <xf numFmtId="4" fontId="28" fillId="0" borderId="24" xfId="0" applyNumberFormat="1" applyFont="1" applyFill="1" applyBorder="1" applyAlignment="1">
      <alignment horizontal="center" vertical="center"/>
    </xf>
    <xf numFmtId="4" fontId="28" fillId="3" borderId="4" xfId="0" applyNumberFormat="1" applyFont="1" applyFill="1" applyBorder="1" applyAlignment="1">
      <alignment horizontal="center" vertical="center"/>
    </xf>
    <xf numFmtId="4" fontId="28" fillId="2" borderId="24" xfId="0" applyNumberFormat="1" applyFont="1" applyFill="1" applyBorder="1" applyAlignment="1">
      <alignment horizontal="center" vertical="center"/>
    </xf>
    <xf numFmtId="4" fontId="28" fillId="3" borderId="24" xfId="0" applyNumberFormat="1" applyFont="1" applyFill="1" applyBorder="1" applyAlignment="1">
      <alignment horizontal="center" vertical="center"/>
    </xf>
    <xf numFmtId="4" fontId="27" fillId="2" borderId="4" xfId="0" applyNumberFormat="1" applyFont="1" applyFill="1" applyBorder="1" applyAlignment="1">
      <alignment horizontal="center" vertical="center"/>
    </xf>
    <xf numFmtId="4" fontId="27" fillId="3" borderId="4" xfId="0" applyNumberFormat="1" applyFont="1" applyFill="1" applyBorder="1" applyAlignment="1">
      <alignment horizontal="center" vertical="center"/>
    </xf>
    <xf numFmtId="4" fontId="27" fillId="4" borderId="4" xfId="0" applyNumberFormat="1" applyFont="1" applyFill="1" applyBorder="1" applyAlignment="1">
      <alignment horizontal="center" vertical="center"/>
    </xf>
    <xf numFmtId="4" fontId="28" fillId="2" borderId="21" xfId="0" applyNumberFormat="1" applyFont="1" applyFill="1" applyBorder="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left" wrapText="1"/>
    </xf>
    <xf numFmtId="0" fontId="10" fillId="0" borderId="0" xfId="0" applyFont="1" applyAlignment="1">
      <alignment horizontal="left"/>
    </xf>
    <xf numFmtId="0" fontId="20" fillId="0" borderId="22" xfId="0" applyFont="1" applyBorder="1" applyAlignment="1">
      <alignment horizontal="center" vertical="center" wrapText="1"/>
    </xf>
    <xf numFmtId="0" fontId="20" fillId="0" borderId="27"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5" fillId="0" borderId="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3" fillId="0" borderId="29" xfId="0" applyFont="1" applyBorder="1" applyAlignment="1">
      <alignment horizontal="center" vertical="center"/>
    </xf>
    <xf numFmtId="0" fontId="3" fillId="0" borderId="35" xfId="0" applyFont="1" applyBorder="1" applyAlignment="1">
      <alignment horizontal="center" vertical="center"/>
    </xf>
    <xf numFmtId="0" fontId="3" fillId="0" borderId="30" xfId="0" applyFont="1" applyBorder="1" applyAlignment="1">
      <alignment horizontal="center" vertical="center"/>
    </xf>
    <xf numFmtId="0" fontId="3" fillId="0" borderId="36" xfId="0" applyFont="1" applyBorder="1" applyAlignment="1">
      <alignment horizontal="center" vertical="center"/>
    </xf>
    <xf numFmtId="0" fontId="3" fillId="2" borderId="29"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6" xfId="0" applyFont="1" applyFill="1" applyBorder="1" applyAlignment="1">
      <alignment horizontal="center" vertical="center"/>
    </xf>
    <xf numFmtId="0" fontId="20" fillId="2" borderId="31" xfId="0" applyFont="1" applyFill="1" applyBorder="1" applyAlignment="1">
      <alignment horizontal="center" vertical="center" wrapText="1"/>
    </xf>
    <xf numFmtId="0" fontId="20" fillId="2"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20" fillId="0" borderId="31" xfId="0" applyFont="1" applyBorder="1" applyAlignment="1">
      <alignment horizontal="center" vertical="center" wrapText="1"/>
    </xf>
    <xf numFmtId="0" fontId="20" fillId="0" borderId="33" xfId="0" applyFont="1" applyBorder="1" applyAlignment="1">
      <alignment horizontal="center" vertical="center" wrapText="1"/>
    </xf>
    <xf numFmtId="0" fontId="20" fillId="2" borderId="11" xfId="0" applyFont="1" applyFill="1" applyBorder="1" applyAlignment="1">
      <alignment horizontal="center" vertical="center" wrapText="1"/>
    </xf>
    <xf numFmtId="0" fontId="20" fillId="2" borderId="42" xfId="0" applyFont="1" applyFill="1" applyBorder="1" applyAlignment="1">
      <alignment horizontal="center" vertical="center" wrapText="1"/>
    </xf>
    <xf numFmtId="0" fontId="20" fillId="2" borderId="45"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11" fillId="4" borderId="31" xfId="0" applyFont="1" applyFill="1" applyBorder="1" applyAlignment="1">
      <alignment horizontal="center" vertical="center" wrapText="1"/>
    </xf>
    <xf numFmtId="0" fontId="11" fillId="4" borderId="33" xfId="0" applyFont="1" applyFill="1" applyBorder="1" applyAlignment="1">
      <alignment horizontal="center" vertical="center" wrapText="1"/>
    </xf>
    <xf numFmtId="0" fontId="8" fillId="0" borderId="31" xfId="1" applyNumberFormat="1" applyFont="1" applyBorder="1" applyAlignment="1">
      <alignment horizontal="left" vertical="center" wrapText="1"/>
    </xf>
    <xf numFmtId="0" fontId="8" fillId="0" borderId="10" xfId="1" applyNumberFormat="1" applyFont="1" applyBorder="1" applyAlignment="1">
      <alignment horizontal="left" vertical="center" wrapText="1"/>
    </xf>
    <xf numFmtId="4" fontId="9" fillId="2" borderId="35" xfId="0" applyNumberFormat="1" applyFont="1" applyFill="1" applyBorder="1" applyAlignment="1">
      <alignment horizontal="center" vertical="center"/>
    </xf>
    <xf numFmtId="4" fontId="9" fillId="2" borderId="40" xfId="0" applyNumberFormat="1" applyFont="1" applyFill="1" applyBorder="1" applyAlignment="1">
      <alignment horizontal="center" vertical="center"/>
    </xf>
    <xf numFmtId="0" fontId="13" fillId="2" borderId="29"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36"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38" xfId="0" applyFont="1" applyFill="1" applyBorder="1" applyAlignment="1">
      <alignment horizontal="center" vertical="center"/>
    </xf>
    <xf numFmtId="0" fontId="13" fillId="2" borderId="41" xfId="0" applyFont="1" applyFill="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37"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2" borderId="35"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33" xfId="0" applyFont="1" applyFill="1" applyBorder="1" applyAlignment="1">
      <alignment horizontal="center" vertical="center" wrapText="1"/>
    </xf>
    <xf numFmtId="4" fontId="5" fillId="3" borderId="31" xfId="0" applyNumberFormat="1" applyFont="1" applyFill="1" applyBorder="1" applyAlignment="1">
      <alignment horizontal="center" vertical="center"/>
    </xf>
    <xf numFmtId="4" fontId="5" fillId="3" borderId="10" xfId="0" applyNumberFormat="1" applyFont="1" applyFill="1" applyBorder="1" applyAlignment="1">
      <alignment horizontal="center" vertical="center"/>
    </xf>
    <xf numFmtId="0" fontId="27" fillId="2" borderId="19" xfId="0" applyFont="1" applyFill="1" applyBorder="1" applyAlignment="1">
      <alignment horizontal="center" vertical="center" wrapText="1"/>
    </xf>
    <xf numFmtId="0" fontId="27" fillId="2" borderId="20"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27" fillId="2" borderId="37" xfId="0" applyFont="1" applyFill="1" applyBorder="1" applyAlignment="1">
      <alignment horizontal="center" vertical="center" wrapText="1"/>
    </xf>
    <xf numFmtId="0" fontId="20" fillId="2" borderId="28"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13" fillId="0" borderId="38" xfId="0" applyFont="1" applyBorder="1" applyAlignment="1">
      <alignment horizontal="center" vertical="center"/>
    </xf>
    <xf numFmtId="0" fontId="3" fillId="0" borderId="34" xfId="0" applyFont="1" applyBorder="1" applyAlignment="1">
      <alignment horizontal="center" vertical="center"/>
    </xf>
    <xf numFmtId="0" fontId="3" fillId="0" borderId="41" xfId="0" applyFont="1" applyBorder="1" applyAlignment="1">
      <alignment horizontal="center" vertical="center"/>
    </xf>
    <xf numFmtId="0" fontId="3" fillId="2" borderId="34"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29" xfId="0" applyFont="1" applyFill="1" applyBorder="1" applyAlignment="1">
      <alignment horizontal="center"/>
    </xf>
    <xf numFmtId="0" fontId="3" fillId="2" borderId="39" xfId="0" applyFont="1" applyFill="1" applyBorder="1" applyAlignment="1">
      <alignment horizontal="center"/>
    </xf>
    <xf numFmtId="0" fontId="3" fillId="2" borderId="35" xfId="0" applyFont="1" applyFill="1" applyBorder="1" applyAlignment="1">
      <alignment horizontal="center"/>
    </xf>
    <xf numFmtId="0" fontId="19" fillId="0" borderId="24" xfId="0" applyFont="1" applyBorder="1" applyAlignment="1">
      <alignment horizontal="center"/>
    </xf>
    <xf numFmtId="0" fontId="19" fillId="0" borderId="21" xfId="0" applyFont="1" applyBorder="1" applyAlignment="1">
      <alignment horizontal="center"/>
    </xf>
    <xf numFmtId="0" fontId="19" fillId="0" borderId="37" xfId="0" applyFont="1" applyBorder="1" applyAlignment="1">
      <alignment horizontal="center"/>
    </xf>
    <xf numFmtId="0" fontId="13" fillId="2" borderId="18" xfId="0" applyFont="1" applyFill="1" applyBorder="1" applyAlignment="1">
      <alignment horizontal="center" vertical="center"/>
    </xf>
    <xf numFmtId="0" fontId="13" fillId="2" borderId="19" xfId="0" applyFont="1" applyFill="1" applyBorder="1" applyAlignment="1">
      <alignment horizontal="center" vertical="center"/>
    </xf>
    <xf numFmtId="0" fontId="19" fillId="0" borderId="24" xfId="0" applyFont="1" applyBorder="1" applyAlignment="1">
      <alignment horizontal="center" vertical="center"/>
    </xf>
    <xf numFmtId="0" fontId="19" fillId="0" borderId="21" xfId="0" applyFont="1" applyBorder="1" applyAlignment="1">
      <alignment horizontal="center" vertical="center"/>
    </xf>
    <xf numFmtId="0" fontId="19" fillId="0" borderId="37" xfId="0" applyFont="1" applyBorder="1" applyAlignment="1">
      <alignment horizontal="center" vertical="center"/>
    </xf>
    <xf numFmtId="0" fontId="14" fillId="0" borderId="0" xfId="0" applyFont="1" applyAlignment="1">
      <alignment horizontal="left" wrapText="1"/>
    </xf>
    <xf numFmtId="4" fontId="21" fillId="2" borderId="35" xfId="0" applyNumberFormat="1" applyFont="1" applyFill="1" applyBorder="1" applyAlignment="1">
      <alignment horizontal="center" vertical="center"/>
    </xf>
    <xf numFmtId="4" fontId="21" fillId="2" borderId="40" xfId="0" applyNumberFormat="1" applyFont="1" applyFill="1" applyBorder="1" applyAlignment="1">
      <alignment horizontal="center" vertical="center"/>
    </xf>
    <xf numFmtId="0" fontId="21" fillId="2" borderId="35" xfId="0" applyFont="1" applyFill="1" applyBorder="1" applyAlignment="1">
      <alignment horizontal="center" vertical="center" wrapText="1"/>
    </xf>
    <xf numFmtId="0" fontId="21" fillId="2" borderId="41" xfId="0" applyFont="1" applyFill="1" applyBorder="1" applyAlignment="1">
      <alignment horizontal="center" vertical="center" wrapText="1"/>
    </xf>
    <xf numFmtId="0" fontId="22" fillId="3" borderId="31" xfId="0" applyFont="1" applyFill="1" applyBorder="1" applyAlignment="1">
      <alignment horizontal="center" vertical="center" wrapText="1"/>
    </xf>
    <xf numFmtId="0" fontId="22" fillId="3" borderId="33"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3" fillId="0" borderId="0" xfId="0" applyFont="1" applyBorder="1" applyAlignment="1">
      <alignment horizontal="center" vertical="center"/>
    </xf>
    <xf numFmtId="0" fontId="27" fillId="4" borderId="6" xfId="0" applyFont="1" applyFill="1" applyBorder="1" applyAlignment="1">
      <alignment horizontal="center" vertical="center" wrapText="1"/>
    </xf>
    <xf numFmtId="0" fontId="27" fillId="4" borderId="8"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14"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31" xfId="0" applyFont="1" applyBorder="1" applyAlignment="1">
      <alignment horizontal="center" vertical="center"/>
    </xf>
    <xf numFmtId="0" fontId="26" fillId="0" borderId="32" xfId="0" applyFont="1" applyBorder="1" applyAlignment="1">
      <alignment horizontal="center" vertical="center"/>
    </xf>
    <xf numFmtId="0" fontId="13" fillId="0" borderId="29" xfId="0" applyFont="1" applyBorder="1" applyAlignment="1">
      <alignment horizontal="center" vertical="center"/>
    </xf>
    <xf numFmtId="0" fontId="13" fillId="0" borderId="35" xfId="0" applyFont="1" applyBorder="1" applyAlignment="1">
      <alignment horizontal="center" vertical="center"/>
    </xf>
    <xf numFmtId="0" fontId="13" fillId="0" borderId="30" xfId="0" applyFont="1" applyBorder="1" applyAlignment="1">
      <alignment horizontal="center" vertical="center"/>
    </xf>
    <xf numFmtId="0" fontId="13" fillId="0" borderId="36" xfId="0" applyFont="1" applyBorder="1" applyAlignment="1">
      <alignment horizontal="center" vertical="center"/>
    </xf>
    <xf numFmtId="0" fontId="13" fillId="2" borderId="29" xfId="0" applyFont="1" applyFill="1" applyBorder="1" applyAlignment="1">
      <alignment horizontal="center"/>
    </xf>
    <xf numFmtId="0" fontId="13" fillId="2" borderId="39" xfId="0" applyFont="1" applyFill="1" applyBorder="1" applyAlignment="1">
      <alignment horizontal="center"/>
    </xf>
    <xf numFmtId="0" fontId="13" fillId="2" borderId="35" xfId="0" applyFont="1" applyFill="1" applyBorder="1" applyAlignment="1">
      <alignment horizontal="center"/>
    </xf>
    <xf numFmtId="0" fontId="13" fillId="0" borderId="24" xfId="0" applyFont="1" applyBorder="1" applyAlignment="1">
      <alignment horizontal="center" vertical="center"/>
    </xf>
    <xf numFmtId="0" fontId="13" fillId="0" borderId="21" xfId="0" applyFont="1" applyBorder="1" applyAlignment="1">
      <alignment horizontal="center" vertical="center"/>
    </xf>
    <xf numFmtId="0" fontId="13" fillId="0" borderId="37" xfId="0" applyFont="1" applyBorder="1" applyAlignment="1">
      <alignment horizontal="center" vertical="center"/>
    </xf>
    <xf numFmtId="0" fontId="13" fillId="2" borderId="21" xfId="0" applyFont="1" applyFill="1" applyBorder="1" applyAlignment="1">
      <alignment horizontal="center" vertical="center"/>
    </xf>
    <xf numFmtId="0" fontId="13" fillId="2" borderId="37" xfId="0" applyFont="1" applyFill="1" applyBorder="1" applyAlignment="1">
      <alignment horizontal="center" vertical="center"/>
    </xf>
  </cellXfs>
  <cellStyles count="2">
    <cellStyle name="Обычный" xfId="0" builtinId="0"/>
    <cellStyle name="Обычный_прик.№(А.ф.)"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42"/>
  <sheetViews>
    <sheetView view="pageBreakPreview" zoomScale="60" zoomScaleNormal="55" workbookViewId="0">
      <selection activeCell="C13" sqref="C13"/>
    </sheetView>
  </sheetViews>
  <sheetFormatPr defaultRowHeight="15" x14ac:dyDescent="0.25"/>
  <cols>
    <col min="1" max="1" width="5" customWidth="1"/>
    <col min="2" max="2" width="28.7109375" customWidth="1"/>
    <col min="3" max="3" width="26" customWidth="1"/>
    <col min="4" max="4" width="28.5703125" customWidth="1"/>
    <col min="5" max="5" width="25.85546875" bestFit="1" customWidth="1"/>
    <col min="6" max="6" width="31" customWidth="1"/>
    <col min="7" max="7" width="25.85546875" bestFit="1" customWidth="1"/>
    <col min="8" max="8" width="31.42578125" customWidth="1"/>
    <col min="9" max="9" width="11.5703125" customWidth="1"/>
    <col min="10" max="10" width="17" customWidth="1"/>
  </cols>
  <sheetData>
    <row r="1" spans="1:8" ht="36.75" customHeight="1" x14ac:dyDescent="0.25">
      <c r="A1" s="175" t="s">
        <v>72</v>
      </c>
      <c r="B1" s="175"/>
      <c r="C1" s="175"/>
      <c r="D1" s="175"/>
      <c r="E1" s="175"/>
      <c r="F1" s="175"/>
      <c r="G1" s="175"/>
      <c r="H1" s="175"/>
    </row>
    <row r="2" spans="1:8" ht="36.75" customHeight="1" x14ac:dyDescent="0.25">
      <c r="A2" s="175"/>
      <c r="B2" s="175"/>
      <c r="C2" s="175"/>
      <c r="D2" s="175"/>
      <c r="E2" s="175"/>
      <c r="F2" s="175"/>
      <c r="G2" s="175"/>
      <c r="H2" s="175"/>
    </row>
    <row r="3" spans="1:8" ht="24" customHeight="1" x14ac:dyDescent="0.25">
      <c r="A3" s="175"/>
      <c r="B3" s="175"/>
      <c r="C3" s="175"/>
      <c r="D3" s="175"/>
      <c r="E3" s="175"/>
      <c r="F3" s="175"/>
      <c r="G3" s="175"/>
      <c r="H3" s="175"/>
    </row>
    <row r="4" spans="1:8" ht="24" customHeight="1" thickBot="1" x14ac:dyDescent="0.3">
      <c r="A4" s="79"/>
      <c r="B4" s="79"/>
      <c r="C4" s="79"/>
      <c r="D4" s="79"/>
      <c r="E4" s="79"/>
      <c r="F4" s="79"/>
      <c r="G4" s="79"/>
      <c r="H4" s="79" t="s">
        <v>44</v>
      </c>
    </row>
    <row r="5" spans="1:8" ht="21" customHeight="1" x14ac:dyDescent="0.25">
      <c r="A5" s="176" t="s">
        <v>0</v>
      </c>
      <c r="B5" s="178" t="s">
        <v>1</v>
      </c>
      <c r="C5" s="180" t="s">
        <v>74</v>
      </c>
      <c r="D5" s="181"/>
      <c r="E5" s="180" t="s">
        <v>75</v>
      </c>
      <c r="F5" s="181"/>
      <c r="G5" s="184" t="s">
        <v>76</v>
      </c>
      <c r="H5" s="185"/>
    </row>
    <row r="6" spans="1:8" ht="48" customHeight="1" thickBot="1" x14ac:dyDescent="0.3">
      <c r="A6" s="177"/>
      <c r="B6" s="179"/>
      <c r="C6" s="182"/>
      <c r="D6" s="183"/>
      <c r="E6" s="182"/>
      <c r="F6" s="183"/>
      <c r="G6" s="186"/>
      <c r="H6" s="187"/>
    </row>
    <row r="7" spans="1:8" ht="35.25" customHeight="1" x14ac:dyDescent="0.25">
      <c r="A7" s="177"/>
      <c r="B7" s="179"/>
      <c r="C7" s="169" t="s">
        <v>6</v>
      </c>
      <c r="D7" s="171" t="s">
        <v>57</v>
      </c>
      <c r="E7" s="169" t="s">
        <v>6</v>
      </c>
      <c r="F7" s="171" t="s">
        <v>50</v>
      </c>
      <c r="G7" s="173" t="s">
        <v>9</v>
      </c>
      <c r="H7" s="171" t="s">
        <v>51</v>
      </c>
    </row>
    <row r="8" spans="1:8" ht="69" customHeight="1" thickBot="1" x14ac:dyDescent="0.3">
      <c r="A8" s="177"/>
      <c r="B8" s="179"/>
      <c r="C8" s="170"/>
      <c r="D8" s="172"/>
      <c r="E8" s="170"/>
      <c r="F8" s="172"/>
      <c r="G8" s="174"/>
      <c r="H8" s="172"/>
    </row>
    <row r="9" spans="1:8" s="1" customFormat="1" ht="21" thickBot="1" x14ac:dyDescent="0.35">
      <c r="A9" s="25">
        <v>1</v>
      </c>
      <c r="B9" s="26">
        <v>2</v>
      </c>
      <c r="C9" s="25">
        <v>3</v>
      </c>
      <c r="D9" s="27">
        <v>4</v>
      </c>
      <c r="E9" s="25">
        <v>5</v>
      </c>
      <c r="F9" s="27">
        <v>6</v>
      </c>
      <c r="G9" s="28">
        <v>7</v>
      </c>
      <c r="H9" s="27">
        <v>8</v>
      </c>
    </row>
    <row r="10" spans="1:8" ht="64.5" customHeight="1" x14ac:dyDescent="0.25">
      <c r="A10" s="37">
        <v>1</v>
      </c>
      <c r="B10" s="38" t="s">
        <v>2</v>
      </c>
      <c r="C10" s="39">
        <f>6681837671.09/1000</f>
        <v>6681837.6710900003</v>
      </c>
      <c r="D10" s="40">
        <f>133636753.42/1000</f>
        <v>133636.75341999999</v>
      </c>
      <c r="E10" s="41">
        <f>12461586685.72/1000</f>
        <v>12461586.685719999</v>
      </c>
      <c r="F10" s="42">
        <f>186923800.28/1000</f>
        <v>186923.80028</v>
      </c>
      <c r="G10" s="43">
        <f>14011803036.4/1000</f>
        <v>14011803.0364</v>
      </c>
      <c r="H10" s="40">
        <f>179247798.65/1000</f>
        <v>179247.79865000001</v>
      </c>
    </row>
    <row r="11" spans="1:8" ht="113.25" customHeight="1" x14ac:dyDescent="0.25">
      <c r="A11" s="47">
        <v>2</v>
      </c>
      <c r="B11" s="48" t="s">
        <v>3</v>
      </c>
      <c r="C11" s="49">
        <f>205130886.47/1000</f>
        <v>205130.88647</v>
      </c>
      <c r="D11" s="50">
        <f>4102617.72/1000</f>
        <v>4102.6177200000002</v>
      </c>
      <c r="E11" s="51">
        <f>341558922.14/1000</f>
        <v>341558.92213999998</v>
      </c>
      <c r="F11" s="52">
        <f>5123383.84/1000</f>
        <v>5123.3838399999995</v>
      </c>
      <c r="G11" s="53">
        <f>385141182.94/1000</f>
        <v>385141.18293999997</v>
      </c>
      <c r="H11" s="50">
        <f>54434068.97/1000</f>
        <v>54434.06897</v>
      </c>
    </row>
    <row r="12" spans="1:8" ht="127.5" customHeight="1" thickBot="1" x14ac:dyDescent="0.3">
      <c r="A12" s="55">
        <v>3</v>
      </c>
      <c r="B12" s="56" t="s">
        <v>4</v>
      </c>
      <c r="C12" s="57">
        <f>1782046379.43/1000</f>
        <v>1782046.37943</v>
      </c>
      <c r="D12" s="58">
        <f>35640927.59/1000</f>
        <v>35640.927590000007</v>
      </c>
      <c r="E12" s="59">
        <f>3510528722.45/1000</f>
        <v>3510528.7224499998</v>
      </c>
      <c r="F12" s="60">
        <f>52657930.84/1000</f>
        <v>52657.930840000001</v>
      </c>
      <c r="G12" s="61">
        <f>3943112111.03/1000</f>
        <v>3943112.1110300003</v>
      </c>
      <c r="H12" s="58">
        <f>1066182.94/1000</f>
        <v>1066.1829399999999</v>
      </c>
    </row>
    <row r="13" spans="1:8" ht="38.25" customHeight="1" thickBot="1" x14ac:dyDescent="0.3">
      <c r="A13" s="4"/>
      <c r="B13" s="5" t="s">
        <v>5</v>
      </c>
      <c r="C13" s="6">
        <f t="shared" ref="C13:H13" si="0">SUM(C10:C12)</f>
        <v>8669014.9369900003</v>
      </c>
      <c r="D13" s="24">
        <f t="shared" si="0"/>
        <v>173380.29873000001</v>
      </c>
      <c r="E13" s="6">
        <f t="shared" si="0"/>
        <v>16313674.330309998</v>
      </c>
      <c r="F13" s="24">
        <f t="shared" si="0"/>
        <v>244705.11495999998</v>
      </c>
      <c r="G13" s="7">
        <f t="shared" si="0"/>
        <v>18340056.330370001</v>
      </c>
      <c r="H13" s="24">
        <f t="shared" si="0"/>
        <v>234748.05056</v>
      </c>
    </row>
    <row r="14" spans="1:8" ht="43.5" customHeight="1" x14ac:dyDescent="0.25">
      <c r="H14" s="2"/>
    </row>
    <row r="16" spans="1:8" ht="81.75" hidden="1" customHeight="1" x14ac:dyDescent="0.25">
      <c r="B16" s="166" t="s">
        <v>10</v>
      </c>
      <c r="C16" s="166"/>
      <c r="D16" s="166"/>
      <c r="E16" s="166"/>
      <c r="F16" s="166"/>
      <c r="G16" s="166"/>
      <c r="H16" s="166"/>
    </row>
    <row r="17" spans="1:9" ht="78" hidden="1" customHeight="1" x14ac:dyDescent="0.3">
      <c r="B17" s="167" t="s">
        <v>58</v>
      </c>
      <c r="C17" s="167"/>
      <c r="D17" s="167"/>
      <c r="E17" s="167"/>
      <c r="F17" s="167"/>
      <c r="G17" s="167"/>
      <c r="H17" s="167"/>
    </row>
    <row r="18" spans="1:9" hidden="1" x14ac:dyDescent="0.25"/>
    <row r="19" spans="1:9" ht="18.75" hidden="1" x14ac:dyDescent="0.3">
      <c r="B19" s="8"/>
    </row>
    <row r="20" spans="1:9" ht="18.75" hidden="1" x14ac:dyDescent="0.3">
      <c r="B20" s="11" t="s">
        <v>16</v>
      </c>
      <c r="C20" s="12"/>
      <c r="D20" s="11"/>
      <c r="E20" s="11"/>
      <c r="F20" s="11"/>
    </row>
    <row r="21" spans="1:9" ht="47.25" hidden="1" customHeight="1" x14ac:dyDescent="0.3">
      <c r="B21" s="167" t="s">
        <v>18</v>
      </c>
      <c r="C21" s="167"/>
      <c r="D21" s="167"/>
      <c r="E21" s="167"/>
      <c r="F21" s="167"/>
      <c r="G21" s="167"/>
      <c r="H21" s="167"/>
      <c r="I21" s="167"/>
    </row>
    <row r="22" spans="1:9" ht="25.5" hidden="1" customHeight="1" x14ac:dyDescent="0.3">
      <c r="A22" t="s">
        <v>21</v>
      </c>
      <c r="B22" s="168" t="s">
        <v>20</v>
      </c>
      <c r="C22" s="168"/>
      <c r="D22" s="168"/>
      <c r="E22" s="168"/>
      <c r="F22" s="168"/>
      <c r="G22" s="168"/>
      <c r="H22" s="168"/>
      <c r="I22" s="67"/>
    </row>
    <row r="23" spans="1:9" ht="20.25" hidden="1" x14ac:dyDescent="0.3">
      <c r="A23" t="s">
        <v>21</v>
      </c>
      <c r="B23" s="68" t="s">
        <v>17</v>
      </c>
      <c r="C23" s="69"/>
      <c r="D23" s="68"/>
      <c r="E23" s="68"/>
      <c r="F23" s="68"/>
      <c r="G23" s="68"/>
      <c r="H23" s="68"/>
      <c r="I23" s="68"/>
    </row>
    <row r="24" spans="1:9" ht="23.25" hidden="1" x14ac:dyDescent="0.35">
      <c r="A24" t="s">
        <v>22</v>
      </c>
      <c r="B24" s="70" t="s">
        <v>26</v>
      </c>
      <c r="C24" s="71"/>
      <c r="D24" s="70"/>
      <c r="E24" s="70"/>
      <c r="F24" s="70"/>
      <c r="G24" s="70"/>
      <c r="H24" s="8"/>
    </row>
    <row r="25" spans="1:9" ht="18" hidden="1" customHeight="1" x14ac:dyDescent="0.35">
      <c r="B25" s="70"/>
      <c r="C25" s="70"/>
      <c r="D25" s="70"/>
      <c r="E25" s="70"/>
      <c r="F25" s="70"/>
      <c r="G25" s="72"/>
      <c r="H25" s="8"/>
    </row>
    <row r="26" spans="1:9" ht="22.5" hidden="1" customHeight="1" x14ac:dyDescent="0.35">
      <c r="B26" s="70" t="s">
        <v>23</v>
      </c>
      <c r="C26" s="71"/>
      <c r="D26" s="70"/>
      <c r="E26" s="70"/>
      <c r="F26" s="70"/>
      <c r="G26" s="70"/>
      <c r="H26" s="8"/>
    </row>
    <row r="27" spans="1:9" ht="30" hidden="1" customHeight="1" x14ac:dyDescent="0.35">
      <c r="B27" s="70" t="s">
        <v>19</v>
      </c>
      <c r="C27" s="71"/>
      <c r="D27" s="70"/>
      <c r="E27" s="70"/>
      <c r="F27" s="70"/>
      <c r="G27" s="70"/>
      <c r="H27" s="8"/>
    </row>
    <row r="28" spans="1:9" ht="34.5" hidden="1" customHeight="1" x14ac:dyDescent="0.35">
      <c r="B28" s="70" t="s">
        <v>25</v>
      </c>
      <c r="C28" s="70"/>
      <c r="D28" s="70"/>
      <c r="E28" s="70"/>
      <c r="F28" s="70"/>
      <c r="G28" s="70"/>
    </row>
    <row r="29" spans="1:9" ht="57" hidden="1" customHeight="1" x14ac:dyDescent="0.35">
      <c r="B29" s="70" t="s">
        <v>24</v>
      </c>
      <c r="C29" s="70"/>
      <c r="D29" s="70"/>
      <c r="E29" s="70"/>
      <c r="F29" s="70"/>
      <c r="G29" s="70"/>
    </row>
    <row r="30" spans="1:9" ht="43.5" hidden="1" customHeight="1" x14ac:dyDescent="0.35">
      <c r="B30" s="70" t="s">
        <v>28</v>
      </c>
      <c r="C30" s="71">
        <f>20643353.23*76/100</f>
        <v>15688948.4548</v>
      </c>
      <c r="D30" s="71">
        <f>C30*1.3/100</f>
        <v>203956.32991240002</v>
      </c>
      <c r="E30" s="70"/>
      <c r="F30" s="70"/>
      <c r="G30" s="70"/>
    </row>
    <row r="31" spans="1:9" ht="23.25" hidden="1" x14ac:dyDescent="0.35">
      <c r="B31" s="70" t="s">
        <v>27</v>
      </c>
      <c r="C31" s="71">
        <f>20643353.23-C30</f>
        <v>4954404.7752</v>
      </c>
      <c r="D31" s="71">
        <f>C31*1.3/100</f>
        <v>64407.262077600004</v>
      </c>
      <c r="E31" s="70"/>
      <c r="F31" s="70"/>
      <c r="G31" s="70"/>
    </row>
    <row r="32" spans="1:9" ht="35.25" hidden="1" customHeight="1" x14ac:dyDescent="0.35">
      <c r="B32" s="70"/>
      <c r="C32" s="70" t="s">
        <v>29</v>
      </c>
      <c r="D32" s="70" t="s">
        <v>30</v>
      </c>
      <c r="E32" s="70"/>
      <c r="F32" s="70"/>
      <c r="G32" s="70"/>
    </row>
    <row r="33" spans="2:7" ht="21.75" hidden="1" customHeight="1" x14ac:dyDescent="0.35">
      <c r="B33" s="70"/>
      <c r="C33" s="70"/>
      <c r="D33" s="70"/>
      <c r="E33" s="70"/>
      <c r="F33" s="70"/>
      <c r="G33" s="70"/>
    </row>
    <row r="34" spans="2:7" ht="100.5" hidden="1" customHeight="1" x14ac:dyDescent="0.35">
      <c r="B34" s="64" t="s">
        <v>40</v>
      </c>
      <c r="C34" s="10"/>
      <c r="D34" s="10"/>
      <c r="E34" s="10"/>
      <c r="F34" s="10"/>
    </row>
    <row r="35" spans="2:7" ht="37.5" hidden="1" customHeight="1" x14ac:dyDescent="0.35">
      <c r="B35" s="10" t="s">
        <v>34</v>
      </c>
      <c r="C35" s="65">
        <v>22898308.399999999</v>
      </c>
      <c r="D35" s="10"/>
      <c r="E35" s="10"/>
      <c r="F35" s="10"/>
    </row>
    <row r="36" spans="2:7" ht="23.25" hidden="1" x14ac:dyDescent="0.35">
      <c r="B36" s="10" t="s">
        <v>35</v>
      </c>
      <c r="C36" s="65">
        <v>1261971.8799999999</v>
      </c>
      <c r="D36" s="10"/>
      <c r="E36" s="10"/>
      <c r="F36" s="10"/>
    </row>
    <row r="37" spans="2:7" ht="23.25" hidden="1" x14ac:dyDescent="0.35">
      <c r="B37" s="10" t="s">
        <v>36</v>
      </c>
      <c r="C37" s="65">
        <v>228368</v>
      </c>
      <c r="D37" s="10"/>
      <c r="E37" s="10"/>
      <c r="F37" s="10"/>
    </row>
    <row r="38" spans="2:7" ht="23.25" hidden="1" x14ac:dyDescent="0.35">
      <c r="B38" s="10"/>
      <c r="C38" s="10"/>
      <c r="D38" s="10"/>
      <c r="E38" s="10"/>
      <c r="F38" s="10"/>
    </row>
    <row r="39" spans="2:7" ht="23.25" hidden="1" x14ac:dyDescent="0.35">
      <c r="B39" s="10"/>
      <c r="C39" s="65">
        <f>C35-C36-C37</f>
        <v>21407968.52</v>
      </c>
      <c r="D39" s="10" t="s">
        <v>43</v>
      </c>
      <c r="E39" s="10"/>
      <c r="F39" s="10"/>
    </row>
    <row r="40" spans="2:7" ht="23.25" hidden="1" x14ac:dyDescent="0.35">
      <c r="B40" s="10"/>
      <c r="C40" s="65">
        <f>C39-C41</f>
        <v>21133236.446199406</v>
      </c>
      <c r="D40" s="10" t="s">
        <v>42</v>
      </c>
      <c r="E40" s="10"/>
      <c r="F40" s="10"/>
    </row>
    <row r="41" spans="2:7" ht="23.25" hidden="1" x14ac:dyDescent="0.35">
      <c r="B41" s="10"/>
      <c r="C41" s="65">
        <f>C39/101.3*1.3</f>
        <v>274732.07380059233</v>
      </c>
      <c r="D41" s="10" t="s">
        <v>41</v>
      </c>
      <c r="E41" s="10"/>
      <c r="F41" s="10"/>
    </row>
    <row r="42" spans="2:7" ht="23.25" x14ac:dyDescent="0.35">
      <c r="B42" s="10"/>
      <c r="C42" s="10"/>
      <c r="D42" s="10"/>
      <c r="E42" s="10"/>
      <c r="F42" s="10"/>
    </row>
  </sheetData>
  <mergeCells count="16">
    <mergeCell ref="A1:H3"/>
    <mergeCell ref="A5:A8"/>
    <mergeCell ref="B5:B8"/>
    <mergeCell ref="C5:D6"/>
    <mergeCell ref="E5:F6"/>
    <mergeCell ref="G5:H6"/>
    <mergeCell ref="B16:H16"/>
    <mergeCell ref="B17:H17"/>
    <mergeCell ref="B21:I21"/>
    <mergeCell ref="B22:H22"/>
    <mergeCell ref="C7:C8"/>
    <mergeCell ref="D7:D8"/>
    <mergeCell ref="E7:E8"/>
    <mergeCell ref="F7:F8"/>
    <mergeCell ref="G7:G8"/>
    <mergeCell ref="H7:H8"/>
  </mergeCells>
  <pageMargins left="0.23622047244094491" right="0.19685039370078741" top="0.74803149606299213" bottom="0.74803149606299213"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R43"/>
  <sheetViews>
    <sheetView view="pageBreakPreview" zoomScale="60" zoomScaleNormal="55" workbookViewId="0">
      <selection activeCell="I10" sqref="I10"/>
    </sheetView>
  </sheetViews>
  <sheetFormatPr defaultRowHeight="15" x14ac:dyDescent="0.25"/>
  <cols>
    <col min="1" max="1" width="5" customWidth="1"/>
    <col min="2" max="2" width="28.7109375" customWidth="1"/>
    <col min="3" max="3" width="26" hidden="1" customWidth="1"/>
    <col min="4" max="4" width="28.5703125" hidden="1" customWidth="1"/>
    <col min="5" max="5" width="25.85546875" hidden="1" customWidth="1"/>
    <col min="6" max="6" width="31" hidden="1" customWidth="1"/>
    <col min="7" max="7" width="25.85546875" hidden="1" customWidth="1"/>
    <col min="8" max="8" width="31.42578125" hidden="1" customWidth="1"/>
    <col min="9" max="9" width="25.85546875" bestFit="1" customWidth="1"/>
    <col min="10" max="10" width="25.140625" customWidth="1"/>
    <col min="11" max="11" width="23.42578125" customWidth="1"/>
    <col min="12" max="12" width="23.85546875" customWidth="1"/>
    <col min="13" max="13" width="28.140625" customWidth="1"/>
    <col min="14" max="14" width="32" customWidth="1"/>
    <col min="15" max="15" width="23.28515625" hidden="1" customWidth="1"/>
    <col min="16" max="16" width="22.140625" hidden="1" customWidth="1"/>
    <col min="17" max="17" width="21.7109375" hidden="1" customWidth="1"/>
    <col min="18" max="18" width="22.28515625" customWidth="1"/>
    <col min="19" max="19" width="17" customWidth="1"/>
  </cols>
  <sheetData>
    <row r="1" spans="1:17" ht="36.75" customHeight="1" x14ac:dyDescent="0.25">
      <c r="A1" s="175" t="s">
        <v>73</v>
      </c>
      <c r="B1" s="175"/>
      <c r="C1" s="175"/>
      <c r="D1" s="175"/>
      <c r="E1" s="175"/>
      <c r="F1" s="175"/>
      <c r="G1" s="175"/>
      <c r="H1" s="175"/>
      <c r="I1" s="175"/>
      <c r="J1" s="175"/>
      <c r="K1" s="175"/>
      <c r="L1" s="175"/>
      <c r="M1" s="175"/>
      <c r="N1" s="175"/>
      <c r="O1" s="175"/>
      <c r="P1" s="175"/>
      <c r="Q1" s="175"/>
    </row>
    <row r="2" spans="1:17" ht="36.75" customHeight="1" x14ac:dyDescent="0.25">
      <c r="A2" s="175"/>
      <c r="B2" s="175"/>
      <c r="C2" s="175"/>
      <c r="D2" s="175"/>
      <c r="E2" s="175"/>
      <c r="F2" s="175"/>
      <c r="G2" s="175"/>
      <c r="H2" s="175"/>
      <c r="I2" s="175"/>
      <c r="J2" s="175"/>
      <c r="K2" s="175"/>
      <c r="L2" s="175"/>
      <c r="M2" s="175"/>
      <c r="N2" s="175"/>
      <c r="O2" s="175"/>
      <c r="P2" s="175"/>
      <c r="Q2" s="175"/>
    </row>
    <row r="3" spans="1:17" ht="24" customHeight="1" x14ac:dyDescent="0.25">
      <c r="A3" s="175"/>
      <c r="B3" s="175"/>
      <c r="C3" s="175"/>
      <c r="D3" s="175"/>
      <c r="E3" s="175"/>
      <c r="F3" s="175"/>
      <c r="G3" s="175"/>
      <c r="H3" s="175"/>
      <c r="I3" s="175"/>
      <c r="J3" s="175"/>
      <c r="K3" s="175"/>
      <c r="L3" s="175"/>
      <c r="M3" s="175"/>
      <c r="N3" s="175"/>
      <c r="O3" s="175"/>
      <c r="P3" s="175"/>
      <c r="Q3" s="175"/>
    </row>
    <row r="4" spans="1:17" ht="24" customHeight="1" thickBot="1" x14ac:dyDescent="0.3">
      <c r="A4" s="79"/>
      <c r="B4" s="79"/>
      <c r="C4" s="79"/>
      <c r="D4" s="79"/>
      <c r="E4" s="79"/>
      <c r="F4" s="79"/>
      <c r="G4" s="79"/>
      <c r="H4" s="79"/>
      <c r="I4" s="79"/>
      <c r="J4" s="79"/>
      <c r="K4" s="79"/>
      <c r="L4" s="79"/>
      <c r="M4" s="79"/>
      <c r="N4" s="79" t="s">
        <v>62</v>
      </c>
      <c r="O4" s="78"/>
      <c r="P4" s="234" t="s">
        <v>59</v>
      </c>
      <c r="Q4" s="234"/>
    </row>
    <row r="5" spans="1:17" ht="21" customHeight="1" thickBot="1" x14ac:dyDescent="0.35">
      <c r="A5" s="176" t="s">
        <v>0</v>
      </c>
      <c r="B5" s="178" t="s">
        <v>1</v>
      </c>
      <c r="C5" s="180" t="s">
        <v>7</v>
      </c>
      <c r="D5" s="181"/>
      <c r="E5" s="180" t="s">
        <v>8</v>
      </c>
      <c r="F5" s="181"/>
      <c r="G5" s="184" t="s">
        <v>11</v>
      </c>
      <c r="H5" s="185"/>
      <c r="I5" s="239" t="s">
        <v>37</v>
      </c>
      <c r="J5" s="240"/>
      <c r="K5" s="240"/>
      <c r="L5" s="240"/>
      <c r="M5" s="240"/>
      <c r="N5" s="241"/>
      <c r="O5" s="242" t="s">
        <v>37</v>
      </c>
      <c r="P5" s="243"/>
      <c r="Q5" s="244"/>
    </row>
    <row r="6" spans="1:17" ht="81" customHeight="1" thickBot="1" x14ac:dyDescent="0.3">
      <c r="A6" s="177"/>
      <c r="B6" s="179"/>
      <c r="C6" s="235"/>
      <c r="D6" s="236"/>
      <c r="E6" s="235"/>
      <c r="F6" s="236"/>
      <c r="G6" s="237"/>
      <c r="H6" s="238"/>
      <c r="I6" s="245" t="s">
        <v>12</v>
      </c>
      <c r="J6" s="246"/>
      <c r="K6" s="228" t="s">
        <v>61</v>
      </c>
      <c r="L6" s="229"/>
      <c r="M6" s="230" t="s">
        <v>15</v>
      </c>
      <c r="N6" s="231"/>
      <c r="O6" s="247" t="s">
        <v>32</v>
      </c>
      <c r="P6" s="248"/>
      <c r="Q6" s="249"/>
    </row>
    <row r="7" spans="1:17" ht="35.25" customHeight="1" x14ac:dyDescent="0.25">
      <c r="A7" s="177"/>
      <c r="B7" s="179"/>
      <c r="C7" s="192" t="s">
        <v>6</v>
      </c>
      <c r="D7" s="190" t="s">
        <v>57</v>
      </c>
      <c r="E7" s="192" t="s">
        <v>6</v>
      </c>
      <c r="F7" s="190" t="s">
        <v>50</v>
      </c>
      <c r="G7" s="188" t="s">
        <v>9</v>
      </c>
      <c r="H7" s="190" t="s">
        <v>51</v>
      </c>
      <c r="I7" s="232" t="s">
        <v>9</v>
      </c>
      <c r="J7" s="194" t="s">
        <v>56</v>
      </c>
      <c r="K7" s="194" t="s">
        <v>9</v>
      </c>
      <c r="L7" s="196" t="s">
        <v>56</v>
      </c>
      <c r="M7" s="198" t="s">
        <v>9</v>
      </c>
      <c r="N7" s="200" t="s">
        <v>52</v>
      </c>
      <c r="O7" s="202" t="s">
        <v>53</v>
      </c>
      <c r="P7" s="202" t="s">
        <v>54</v>
      </c>
      <c r="Q7" s="202" t="s">
        <v>55</v>
      </c>
    </row>
    <row r="8" spans="1:17" ht="69" customHeight="1" thickBot="1" x14ac:dyDescent="0.3">
      <c r="A8" s="177"/>
      <c r="B8" s="179"/>
      <c r="C8" s="193"/>
      <c r="D8" s="191"/>
      <c r="E8" s="193"/>
      <c r="F8" s="191"/>
      <c r="G8" s="189"/>
      <c r="H8" s="191"/>
      <c r="I8" s="233"/>
      <c r="J8" s="195"/>
      <c r="K8" s="195"/>
      <c r="L8" s="197"/>
      <c r="M8" s="199"/>
      <c r="N8" s="201"/>
      <c r="O8" s="203"/>
      <c r="P8" s="203"/>
      <c r="Q8" s="203"/>
    </row>
    <row r="9" spans="1:17" s="1" customFormat="1" ht="21" thickBot="1" x14ac:dyDescent="0.35">
      <c r="A9" s="25">
        <v>1</v>
      </c>
      <c r="B9" s="26">
        <v>2</v>
      </c>
      <c r="C9" s="25">
        <v>3</v>
      </c>
      <c r="D9" s="27">
        <v>4</v>
      </c>
      <c r="E9" s="25">
        <v>5</v>
      </c>
      <c r="F9" s="27">
        <v>6</v>
      </c>
      <c r="G9" s="28">
        <v>7</v>
      </c>
      <c r="H9" s="29">
        <v>8</v>
      </c>
      <c r="I9" s="30">
        <v>3</v>
      </c>
      <c r="J9" s="31">
        <v>4</v>
      </c>
      <c r="K9" s="32">
        <v>5</v>
      </c>
      <c r="L9" s="33">
        <v>6</v>
      </c>
      <c r="M9" s="34">
        <v>7</v>
      </c>
      <c r="N9" s="35">
        <v>8</v>
      </c>
      <c r="O9" s="36">
        <v>15</v>
      </c>
      <c r="P9" s="36">
        <v>16</v>
      </c>
      <c r="Q9" s="36">
        <v>17</v>
      </c>
    </row>
    <row r="10" spans="1:17" ht="82.5" customHeight="1" x14ac:dyDescent="0.25">
      <c r="A10" s="37">
        <v>1</v>
      </c>
      <c r="B10" s="38" t="s">
        <v>2</v>
      </c>
      <c r="C10" s="39">
        <f>6681837671.09/1000</f>
        <v>6681837.6710900003</v>
      </c>
      <c r="D10" s="40">
        <f>133636753.42/1000</f>
        <v>133636.75341999999</v>
      </c>
      <c r="E10" s="41">
        <f>12461586685.72/1000</f>
        <v>12461586.685719999</v>
      </c>
      <c r="F10" s="42">
        <f>186923800.28/1000</f>
        <v>186923.80028</v>
      </c>
      <c r="G10" s="43">
        <f>14011803036.4/1000</f>
        <v>14011803.0364</v>
      </c>
      <c r="H10" s="44">
        <f>179247798.65/1000</f>
        <v>179247.79865000001</v>
      </c>
      <c r="I10" s="96">
        <f>10696640407.75/1000</f>
        <v>10696640.407749999</v>
      </c>
      <c r="J10" s="97">
        <f>139056325.3/1000</f>
        <v>139056.32530000003</v>
      </c>
      <c r="K10" s="98">
        <f>M10-I10</f>
        <v>4992308.0422499999</v>
      </c>
      <c r="L10" s="99">
        <f>N10-J10</f>
        <v>64900.004549999954</v>
      </c>
      <c r="M10" s="45">
        <v>15688948.449999999</v>
      </c>
      <c r="N10" s="40">
        <f>M10*1.3/100</f>
        <v>203956.32984999998</v>
      </c>
      <c r="O10" s="46">
        <f>M10*1/100</f>
        <v>156889.48449999999</v>
      </c>
      <c r="P10" s="46">
        <f>M10*1.1/100</f>
        <v>172578.43295000002</v>
      </c>
      <c r="Q10" s="46">
        <f>M10*1.2/100</f>
        <v>188267.38139999995</v>
      </c>
    </row>
    <row r="11" spans="1:17" ht="118.5" hidden="1" customHeight="1" x14ac:dyDescent="0.25">
      <c r="A11" s="47">
        <v>2</v>
      </c>
      <c r="B11" s="48" t="s">
        <v>3</v>
      </c>
      <c r="C11" s="49">
        <f>205130886.47/1000</f>
        <v>205130.88647</v>
      </c>
      <c r="D11" s="50">
        <f>4102617.72/1000</f>
        <v>4102.6177200000002</v>
      </c>
      <c r="E11" s="51">
        <f>341558922.14/1000</f>
        <v>341558.92213999998</v>
      </c>
      <c r="F11" s="52">
        <f>5123383.84/1000</f>
        <v>5123.3838399999995</v>
      </c>
      <c r="G11" s="53">
        <f>385141182.94/1000</f>
        <v>385141.18293999997</v>
      </c>
      <c r="H11" s="54">
        <f>54434068.97/1000</f>
        <v>54434.06897</v>
      </c>
      <c r="I11" s="100"/>
      <c r="J11" s="101"/>
      <c r="K11" s="102"/>
      <c r="L11" s="103"/>
      <c r="M11" s="45">
        <f t="shared" ref="M11" si="0">I11+K11</f>
        <v>0</v>
      </c>
      <c r="N11" s="40">
        <f t="shared" ref="N11:N12" si="1">M11*1.3/100</f>
        <v>0</v>
      </c>
      <c r="O11" s="46">
        <f>M11*1.3/100</f>
        <v>0</v>
      </c>
      <c r="P11" s="46">
        <f>N11*1.3/100</f>
        <v>0</v>
      </c>
      <c r="Q11" s="46">
        <f t="shared" ref="Q11" si="2">P11*1.3/100</f>
        <v>0</v>
      </c>
    </row>
    <row r="12" spans="1:17" ht="118.5" customHeight="1" thickBot="1" x14ac:dyDescent="0.3">
      <c r="A12" s="55">
        <v>2</v>
      </c>
      <c r="B12" s="56" t="s">
        <v>4</v>
      </c>
      <c r="C12" s="57">
        <f>1782046379.43/1000</f>
        <v>1782046.37943</v>
      </c>
      <c r="D12" s="58">
        <f>35640927.59/1000</f>
        <v>35640.927590000007</v>
      </c>
      <c r="E12" s="59">
        <f>3510528722.45/1000</f>
        <v>3510528.7224499998</v>
      </c>
      <c r="F12" s="60">
        <f>52657930.84/1000</f>
        <v>52657.930840000001</v>
      </c>
      <c r="G12" s="61">
        <f>3943112111.03/1000</f>
        <v>3943112.1110300003</v>
      </c>
      <c r="H12" s="62">
        <f>1066182.94/1000</f>
        <v>1066.1829399999999</v>
      </c>
      <c r="I12" s="104">
        <f>3369361387.94/1000</f>
        <v>3369361.3879400003</v>
      </c>
      <c r="J12" s="105">
        <f>43801698.04/1000</f>
        <v>43801.698039999996</v>
      </c>
      <c r="K12" s="106">
        <f>M12-I12</f>
        <v>1585043.39206</v>
      </c>
      <c r="L12" s="107">
        <f>N12-J12</f>
        <v>20605.564100000011</v>
      </c>
      <c r="M12" s="63">
        <v>4954404.78</v>
      </c>
      <c r="N12" s="40">
        <f t="shared" si="1"/>
        <v>64407.262140000006</v>
      </c>
      <c r="O12" s="46">
        <f>M12*1/100</f>
        <v>49544.0478</v>
      </c>
      <c r="P12" s="46">
        <f>M12*1.1/100</f>
        <v>54498.452580000005</v>
      </c>
      <c r="Q12" s="46">
        <f>M12*1.2/100</f>
        <v>59452.857360000002</v>
      </c>
    </row>
    <row r="13" spans="1:17" ht="38.25" customHeight="1" thickBot="1" x14ac:dyDescent="0.3">
      <c r="A13" s="4"/>
      <c r="B13" s="112" t="s">
        <v>5</v>
      </c>
      <c r="C13" s="6">
        <f t="shared" ref="C13:Q13" si="3">SUM(C10:C12)</f>
        <v>8669014.9369900003</v>
      </c>
      <c r="D13" s="24">
        <f t="shared" si="3"/>
        <v>173380.29873000001</v>
      </c>
      <c r="E13" s="6">
        <f t="shared" si="3"/>
        <v>16313674.330309998</v>
      </c>
      <c r="F13" s="24">
        <f t="shared" si="3"/>
        <v>244705.11495999998</v>
      </c>
      <c r="G13" s="7">
        <f t="shared" si="3"/>
        <v>18340056.330370001</v>
      </c>
      <c r="H13" s="23">
        <f t="shared" si="3"/>
        <v>234748.05056</v>
      </c>
      <c r="I13" s="108">
        <f t="shared" si="3"/>
        <v>14066001.79569</v>
      </c>
      <c r="J13" s="109">
        <f t="shared" si="3"/>
        <v>182858.02334000001</v>
      </c>
      <c r="K13" s="110">
        <f t="shared" si="3"/>
        <v>6577351.4343100004</v>
      </c>
      <c r="L13" s="111">
        <f t="shared" si="3"/>
        <v>85505.568649999972</v>
      </c>
      <c r="M13" s="73">
        <f t="shared" si="3"/>
        <v>20643353.23</v>
      </c>
      <c r="N13" s="22">
        <f t="shared" si="3"/>
        <v>268363.59198999999</v>
      </c>
      <c r="O13" s="9">
        <f t="shared" si="3"/>
        <v>206433.53229999999</v>
      </c>
      <c r="P13" s="9">
        <f t="shared" si="3"/>
        <v>227076.88553000003</v>
      </c>
      <c r="Q13" s="9">
        <f t="shared" si="3"/>
        <v>247720.23875999995</v>
      </c>
    </row>
    <row r="14" spans="1:17" ht="27.75" hidden="1" x14ac:dyDescent="0.4">
      <c r="H14" s="2"/>
      <c r="J14" s="2"/>
      <c r="M14" s="3"/>
      <c r="N14" s="3"/>
      <c r="O14" s="74" t="s">
        <v>31</v>
      </c>
    </row>
    <row r="15" spans="1:17" ht="15.75" hidden="1" thickBot="1" x14ac:dyDescent="0.3">
      <c r="J15" s="2"/>
      <c r="M15" s="3"/>
      <c r="N15" s="3"/>
      <c r="O15" s="3"/>
    </row>
    <row r="16" spans="1:17" ht="81.75" hidden="1" customHeight="1" thickBot="1" x14ac:dyDescent="0.3">
      <c r="B16" s="166" t="s">
        <v>10</v>
      </c>
      <c r="C16" s="166"/>
      <c r="D16" s="166"/>
      <c r="E16" s="166"/>
      <c r="F16" s="166"/>
      <c r="G16" s="166"/>
      <c r="H16" s="166"/>
      <c r="I16" s="166"/>
      <c r="J16" s="166"/>
      <c r="K16" s="166"/>
      <c r="L16" s="166"/>
      <c r="M16" s="3"/>
      <c r="N16" s="75" t="s">
        <v>33</v>
      </c>
      <c r="O16" s="76">
        <f>N13-O13</f>
        <v>61930.059689999995</v>
      </c>
      <c r="P16" s="76">
        <f>N13-P13</f>
        <v>41286.706459999958</v>
      </c>
      <c r="Q16" s="77">
        <f>N13-Q13</f>
        <v>20643.353230000037</v>
      </c>
    </row>
    <row r="17" spans="1:18" ht="78" hidden="1" customHeight="1" x14ac:dyDescent="0.3">
      <c r="B17" s="167" t="s">
        <v>58</v>
      </c>
      <c r="C17" s="167"/>
      <c r="D17" s="167"/>
      <c r="E17" s="167"/>
      <c r="F17" s="167"/>
      <c r="G17" s="167"/>
      <c r="H17" s="167"/>
      <c r="I17" s="167"/>
      <c r="J17" s="167"/>
      <c r="K17" s="167"/>
      <c r="L17" s="167"/>
    </row>
    <row r="18" spans="1:18" hidden="1" x14ac:dyDescent="0.25"/>
    <row r="19" spans="1:18" ht="18.75" hidden="1" x14ac:dyDescent="0.3">
      <c r="B19" s="8"/>
    </row>
    <row r="20" spans="1:18" ht="18.75" hidden="1" x14ac:dyDescent="0.3">
      <c r="B20" s="11" t="s">
        <v>16</v>
      </c>
      <c r="C20" s="12"/>
      <c r="D20" s="11"/>
      <c r="E20" s="11"/>
      <c r="F20" s="11"/>
    </row>
    <row r="21" spans="1:18" ht="47.25" hidden="1" customHeight="1" x14ac:dyDescent="0.3">
      <c r="B21" s="167" t="s">
        <v>18</v>
      </c>
      <c r="C21" s="167"/>
      <c r="D21" s="167"/>
      <c r="E21" s="167"/>
      <c r="F21" s="167"/>
      <c r="G21" s="167"/>
      <c r="H21" s="167"/>
      <c r="I21" s="167"/>
      <c r="J21" s="167"/>
      <c r="K21" s="167"/>
      <c r="L21" s="167"/>
      <c r="M21" s="167"/>
      <c r="N21" s="167"/>
      <c r="O21" s="167"/>
      <c r="P21" s="167"/>
      <c r="Q21" s="167"/>
      <c r="R21" s="167"/>
    </row>
    <row r="22" spans="1:18" ht="25.5" hidden="1" customHeight="1" x14ac:dyDescent="0.3">
      <c r="A22" t="s">
        <v>21</v>
      </c>
      <c r="B22" s="168" t="s">
        <v>20</v>
      </c>
      <c r="C22" s="168"/>
      <c r="D22" s="168"/>
      <c r="E22" s="168"/>
      <c r="F22" s="168"/>
      <c r="G22" s="168"/>
      <c r="H22" s="168"/>
      <c r="I22" s="168"/>
      <c r="J22" s="168"/>
      <c r="K22" s="168"/>
      <c r="L22" s="168"/>
      <c r="M22" s="168"/>
      <c r="N22" s="168"/>
      <c r="O22" s="66"/>
      <c r="P22" s="67"/>
      <c r="Q22" s="67"/>
      <c r="R22" s="67"/>
    </row>
    <row r="23" spans="1:18" ht="20.25" hidden="1" x14ac:dyDescent="0.3">
      <c r="A23" t="s">
        <v>21</v>
      </c>
      <c r="B23" s="68" t="s">
        <v>17</v>
      </c>
      <c r="C23" s="69"/>
      <c r="D23" s="68"/>
      <c r="E23" s="68"/>
      <c r="F23" s="68"/>
      <c r="G23" s="68"/>
      <c r="H23" s="68"/>
      <c r="I23" s="68"/>
      <c r="J23" s="68"/>
      <c r="K23" s="68"/>
      <c r="L23" s="68"/>
      <c r="M23" s="68"/>
      <c r="N23" s="68"/>
      <c r="O23" s="68"/>
      <c r="P23" s="68"/>
      <c r="Q23" s="68"/>
      <c r="R23" s="68"/>
    </row>
    <row r="24" spans="1:18" ht="24" hidden="1" thickBot="1" x14ac:dyDescent="0.4">
      <c r="A24" t="s">
        <v>22</v>
      </c>
      <c r="B24" s="70" t="s">
        <v>26</v>
      </c>
      <c r="C24" s="71"/>
      <c r="D24" s="70"/>
      <c r="E24" s="70"/>
      <c r="F24" s="70"/>
      <c r="G24" s="70"/>
      <c r="H24" s="8"/>
      <c r="I24" s="8"/>
      <c r="J24" s="8"/>
      <c r="K24" s="8"/>
      <c r="L24" s="8"/>
      <c r="M24" s="8"/>
      <c r="N24" s="8"/>
      <c r="O24" s="8"/>
      <c r="Q24" s="8" t="s">
        <v>60</v>
      </c>
    </row>
    <row r="25" spans="1:18" ht="18" hidden="1" customHeight="1" x14ac:dyDescent="0.35">
      <c r="B25" s="70"/>
      <c r="C25" s="70"/>
      <c r="D25" s="70"/>
      <c r="E25" s="70"/>
      <c r="F25" s="70"/>
      <c r="G25" s="72"/>
      <c r="H25" s="8"/>
      <c r="I25" s="8"/>
      <c r="J25" s="8"/>
      <c r="K25" s="8"/>
      <c r="L25" s="8"/>
      <c r="M25" s="208" t="s">
        <v>38</v>
      </c>
      <c r="N25" s="209"/>
      <c r="O25" s="209"/>
      <c r="P25" s="209"/>
      <c r="Q25" s="210"/>
    </row>
    <row r="26" spans="1:18" ht="22.5" hidden="1" customHeight="1" x14ac:dyDescent="0.35">
      <c r="B26" s="70" t="s">
        <v>23</v>
      </c>
      <c r="C26" s="71"/>
      <c r="D26" s="70"/>
      <c r="E26" s="70"/>
      <c r="F26" s="70"/>
      <c r="G26" s="70"/>
      <c r="H26" s="8"/>
      <c r="I26" s="8"/>
      <c r="J26" s="8"/>
      <c r="K26" s="8"/>
      <c r="L26" s="8"/>
      <c r="M26" s="211"/>
      <c r="N26" s="212"/>
      <c r="O26" s="212"/>
      <c r="P26" s="212"/>
      <c r="Q26" s="213"/>
    </row>
    <row r="27" spans="1:18" ht="30" hidden="1" customHeight="1" thickBot="1" x14ac:dyDescent="0.4">
      <c r="B27" s="70" t="s">
        <v>19</v>
      </c>
      <c r="C27" s="71"/>
      <c r="D27" s="70"/>
      <c r="E27" s="70"/>
      <c r="F27" s="70"/>
      <c r="G27" s="70"/>
      <c r="H27" s="8"/>
      <c r="I27" s="8"/>
      <c r="J27" s="8"/>
      <c r="K27" s="8"/>
      <c r="L27" s="8"/>
      <c r="M27" s="214"/>
      <c r="N27" s="215"/>
      <c r="O27" s="215"/>
      <c r="P27" s="215"/>
      <c r="Q27" s="216"/>
    </row>
    <row r="28" spans="1:18" ht="34.5" hidden="1" customHeight="1" thickBot="1" x14ac:dyDescent="0.4">
      <c r="B28" s="70" t="s">
        <v>25</v>
      </c>
      <c r="C28" s="70"/>
      <c r="D28" s="70"/>
      <c r="E28" s="70"/>
      <c r="F28" s="70"/>
      <c r="G28" s="70"/>
      <c r="M28" s="217" t="s">
        <v>39</v>
      </c>
      <c r="N28" s="218"/>
      <c r="O28" s="218"/>
      <c r="P28" s="218"/>
      <c r="Q28" s="219"/>
    </row>
    <row r="29" spans="1:18" ht="57" hidden="1" customHeight="1" x14ac:dyDescent="0.35">
      <c r="B29" s="70" t="s">
        <v>24</v>
      </c>
      <c r="C29" s="70"/>
      <c r="D29" s="70"/>
      <c r="E29" s="70"/>
      <c r="F29" s="70"/>
      <c r="G29" s="70"/>
      <c r="M29" s="220" t="s">
        <v>45</v>
      </c>
      <c r="N29" s="222" t="s">
        <v>9</v>
      </c>
      <c r="O29" s="224" t="s">
        <v>47</v>
      </c>
      <c r="P29" s="224" t="s">
        <v>48</v>
      </c>
      <c r="Q29" s="224" t="s">
        <v>49</v>
      </c>
    </row>
    <row r="30" spans="1:18" ht="43.5" hidden="1" customHeight="1" thickBot="1" x14ac:dyDescent="0.4">
      <c r="B30" s="70" t="s">
        <v>28</v>
      </c>
      <c r="C30" s="71">
        <f>20643353.23*76/100</f>
        <v>15688948.4548</v>
      </c>
      <c r="D30" s="71">
        <f>C30*1.3/100</f>
        <v>203956.32991240002</v>
      </c>
      <c r="E30" s="70"/>
      <c r="F30" s="70"/>
      <c r="G30" s="70"/>
      <c r="M30" s="221"/>
      <c r="N30" s="223"/>
      <c r="O30" s="225"/>
      <c r="P30" s="225"/>
      <c r="Q30" s="225"/>
    </row>
    <row r="31" spans="1:18" ht="24" hidden="1" thickBot="1" x14ac:dyDescent="0.4">
      <c r="B31" s="70" t="s">
        <v>27</v>
      </c>
      <c r="C31" s="71">
        <f>20643353.23-C30</f>
        <v>4954404.7752</v>
      </c>
      <c r="D31" s="71">
        <f>C31*1.3/100</f>
        <v>64407.262077600004</v>
      </c>
      <c r="E31" s="70"/>
      <c r="F31" s="70"/>
      <c r="G31" s="70"/>
      <c r="M31" s="15">
        <v>1</v>
      </c>
      <c r="N31" s="16">
        <v>2</v>
      </c>
      <c r="O31" s="17">
        <v>3</v>
      </c>
      <c r="P31" s="17">
        <v>4</v>
      </c>
      <c r="Q31" s="17">
        <v>5</v>
      </c>
    </row>
    <row r="32" spans="1:18" ht="35.25" hidden="1" customHeight="1" x14ac:dyDescent="0.35">
      <c r="B32" s="70"/>
      <c r="C32" s="70" t="s">
        <v>29</v>
      </c>
      <c r="D32" s="70" t="s">
        <v>30</v>
      </c>
      <c r="E32" s="70"/>
      <c r="F32" s="70"/>
      <c r="G32" s="70"/>
      <c r="M32" s="204" t="s">
        <v>2</v>
      </c>
      <c r="N32" s="206">
        <f>C41*76/100</f>
        <v>16061259.699111547</v>
      </c>
      <c r="O32" s="226">
        <f>N32*1.1/100</f>
        <v>176673.85669022702</v>
      </c>
      <c r="P32" s="226">
        <f>N32*1.2/100</f>
        <v>192735.11638933857</v>
      </c>
      <c r="Q32" s="226">
        <f>N32*1.3/100</f>
        <v>208796.37608845011</v>
      </c>
    </row>
    <row r="33" spans="2:17" ht="21.75" hidden="1" customHeight="1" x14ac:dyDescent="0.35">
      <c r="B33" s="70"/>
      <c r="C33" s="70"/>
      <c r="D33" s="70"/>
      <c r="E33" s="70"/>
      <c r="F33" s="70"/>
      <c r="G33" s="70"/>
      <c r="L33">
        <v>1</v>
      </c>
      <c r="M33" s="205"/>
      <c r="N33" s="207"/>
      <c r="O33" s="227"/>
      <c r="P33" s="227"/>
      <c r="Q33" s="227"/>
    </row>
    <row r="34" spans="2:17" ht="100.5" hidden="1" customHeight="1" thickBot="1" x14ac:dyDescent="0.4">
      <c r="B34" s="64" t="s">
        <v>40</v>
      </c>
      <c r="C34" s="10"/>
      <c r="D34" s="10"/>
      <c r="E34" s="10"/>
      <c r="F34" s="10"/>
      <c r="L34">
        <v>2</v>
      </c>
      <c r="M34" s="18" t="s">
        <v>46</v>
      </c>
      <c r="N34" s="19">
        <f>C41*24/100</f>
        <v>5071976.7470878577</v>
      </c>
      <c r="O34" s="20">
        <f>N34*1.1/100</f>
        <v>55791.744217966443</v>
      </c>
      <c r="P34" s="20">
        <f>N34*1.2/100</f>
        <v>60863.720965054286</v>
      </c>
      <c r="Q34" s="20">
        <f>N34*1.3/100</f>
        <v>65935.697712142151</v>
      </c>
    </row>
    <row r="35" spans="2:17" ht="37.5" hidden="1" customHeight="1" thickBot="1" x14ac:dyDescent="0.4">
      <c r="B35" s="10" t="s">
        <v>34</v>
      </c>
      <c r="C35" s="65">
        <v>22898308.399999999</v>
      </c>
      <c r="D35" s="10"/>
      <c r="E35" s="10"/>
      <c r="F35" s="10"/>
      <c r="M35" s="21"/>
      <c r="N35" s="13">
        <f>SUM(N32:N34)</f>
        <v>21133236.446199406</v>
      </c>
      <c r="O35" s="24">
        <f>SUM(O32:O34)</f>
        <v>232465.60090819348</v>
      </c>
      <c r="P35" s="24">
        <f>SUM(P32:P34)</f>
        <v>253598.83735439286</v>
      </c>
      <c r="Q35" s="24">
        <f>SUM(Q32:Q34)</f>
        <v>274732.07380059228</v>
      </c>
    </row>
    <row r="36" spans="2:17" ht="23.25" hidden="1" x14ac:dyDescent="0.35">
      <c r="B36" s="10" t="s">
        <v>35</v>
      </c>
      <c r="C36" s="65">
        <v>1261971.8799999999</v>
      </c>
      <c r="D36" s="10"/>
      <c r="E36" s="10"/>
      <c r="F36" s="10"/>
    </row>
    <row r="37" spans="2:17" ht="23.25" hidden="1" x14ac:dyDescent="0.35">
      <c r="B37" s="10" t="s">
        <v>36</v>
      </c>
      <c r="C37" s="65">
        <v>228368</v>
      </c>
      <c r="D37" s="10"/>
      <c r="E37" s="10"/>
      <c r="F37" s="10"/>
    </row>
    <row r="38" spans="2:17" ht="23.25" hidden="1" x14ac:dyDescent="0.35">
      <c r="B38" s="10"/>
      <c r="C38" s="10"/>
      <c r="D38" s="10"/>
      <c r="E38" s="10"/>
      <c r="F38" s="10"/>
    </row>
    <row r="39" spans="2:17" ht="23.25" x14ac:dyDescent="0.35">
      <c r="B39" s="10"/>
      <c r="C39" s="10"/>
      <c r="D39" s="10"/>
      <c r="E39" s="10"/>
      <c r="F39" s="10"/>
    </row>
    <row r="40" spans="2:17" ht="23.25" x14ac:dyDescent="0.35">
      <c r="B40" s="10"/>
      <c r="C40" s="65">
        <f>C35-C36-C37</f>
        <v>21407968.52</v>
      </c>
      <c r="D40" s="10" t="s">
        <v>43</v>
      </c>
      <c r="E40" s="10"/>
      <c r="F40" s="10"/>
    </row>
    <row r="41" spans="2:17" ht="23.25" x14ac:dyDescent="0.35">
      <c r="B41" s="10"/>
      <c r="C41" s="65">
        <f>C40-C42</f>
        <v>21133236.446199406</v>
      </c>
      <c r="D41" s="10" t="s">
        <v>42</v>
      </c>
      <c r="E41" s="10"/>
      <c r="F41" s="10"/>
    </row>
    <row r="42" spans="2:17" ht="23.25" x14ac:dyDescent="0.35">
      <c r="B42" s="10"/>
      <c r="C42" s="65">
        <f>C40/101.3*1.3</f>
        <v>274732.07380059233</v>
      </c>
      <c r="D42" s="10" t="s">
        <v>41</v>
      </c>
      <c r="E42" s="10"/>
      <c r="F42" s="10"/>
    </row>
    <row r="43" spans="2:17" ht="23.25" x14ac:dyDescent="0.35">
      <c r="B43" s="10"/>
      <c r="C43" s="10"/>
      <c r="D43" s="10"/>
      <c r="E43" s="10"/>
      <c r="F43" s="10"/>
    </row>
  </sheetData>
  <mergeCells count="44">
    <mergeCell ref="K6:L6"/>
    <mergeCell ref="M6:N6"/>
    <mergeCell ref="I7:I8"/>
    <mergeCell ref="A1:Q3"/>
    <mergeCell ref="P4:Q4"/>
    <mergeCell ref="A5:A8"/>
    <mergeCell ref="B5:B8"/>
    <mergeCell ref="C5:D6"/>
    <mergeCell ref="E5:F6"/>
    <mergeCell ref="G5:H6"/>
    <mergeCell ref="I5:N5"/>
    <mergeCell ref="O5:Q5"/>
    <mergeCell ref="I6:J6"/>
    <mergeCell ref="O6:Q6"/>
    <mergeCell ref="H7:H8"/>
    <mergeCell ref="P7:P8"/>
    <mergeCell ref="M32:M33"/>
    <mergeCell ref="N32:N33"/>
    <mergeCell ref="M25:Q27"/>
    <mergeCell ref="M28:Q28"/>
    <mergeCell ref="M29:M30"/>
    <mergeCell ref="N29:N30"/>
    <mergeCell ref="O29:O30"/>
    <mergeCell ref="P29:P30"/>
    <mergeCell ref="Q29:Q30"/>
    <mergeCell ref="Q32:Q33"/>
    <mergeCell ref="P32:P33"/>
    <mergeCell ref="O32:O33"/>
    <mergeCell ref="Q7:Q8"/>
    <mergeCell ref="B16:L16"/>
    <mergeCell ref="B17:L17"/>
    <mergeCell ref="B21:R21"/>
    <mergeCell ref="C7:C8"/>
    <mergeCell ref="O7:O8"/>
    <mergeCell ref="B22:N22"/>
    <mergeCell ref="G7:G8"/>
    <mergeCell ref="F7:F8"/>
    <mergeCell ref="E7:E8"/>
    <mergeCell ref="D7:D8"/>
    <mergeCell ref="J7:J8"/>
    <mergeCell ref="K7:K8"/>
    <mergeCell ref="L7:L8"/>
    <mergeCell ref="M7:M8"/>
    <mergeCell ref="N7:N8"/>
  </mergeCells>
  <pageMargins left="0.23622047244094491" right="0.19685039370078741" top="0.74803149606299213" bottom="0.74803149606299213"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W42"/>
  <sheetViews>
    <sheetView tabSelected="1" view="pageBreakPreview" zoomScale="60" zoomScaleNormal="55" workbookViewId="0">
      <selection activeCell="Q31" sqref="Q31"/>
    </sheetView>
  </sheetViews>
  <sheetFormatPr defaultRowHeight="15" x14ac:dyDescent="0.25"/>
  <cols>
    <col min="2" max="2" width="9.7109375" customWidth="1"/>
    <col min="3" max="3" width="35.140625" customWidth="1"/>
    <col min="4" max="4" width="26" hidden="1" customWidth="1"/>
    <col min="5" max="5" width="28.5703125" hidden="1" customWidth="1"/>
    <col min="6" max="6" width="25.85546875" hidden="1" customWidth="1"/>
    <col min="7" max="7" width="31" hidden="1" customWidth="1"/>
    <col min="8" max="8" width="25.85546875" hidden="1" customWidth="1"/>
    <col min="9" max="9" width="31.42578125" hidden="1" customWidth="1"/>
    <col min="10" max="10" width="25.85546875" hidden="1" customWidth="1"/>
    <col min="11" max="11" width="25.140625" hidden="1" customWidth="1"/>
    <col min="12" max="12" width="23.42578125" hidden="1" customWidth="1"/>
    <col min="13" max="13" width="21.28515625" hidden="1" customWidth="1"/>
    <col min="14" max="14" width="28.140625" hidden="1" customWidth="1"/>
    <col min="15" max="15" width="32" hidden="1" customWidth="1"/>
    <col min="16" max="16" width="23.28515625" customWidth="1"/>
    <col min="17" max="17" width="22.140625" customWidth="1"/>
    <col min="18" max="18" width="21.7109375" customWidth="1"/>
    <col min="19" max="19" width="17" hidden="1" customWidth="1"/>
    <col min="20" max="22" width="26.28515625" customWidth="1"/>
  </cols>
  <sheetData>
    <row r="1" spans="2:23" ht="36.75" customHeight="1" x14ac:dyDescent="0.25">
      <c r="B1" s="265" t="s">
        <v>71</v>
      </c>
      <c r="C1" s="265"/>
      <c r="D1" s="265"/>
      <c r="E1" s="265"/>
      <c r="F1" s="265"/>
      <c r="G1" s="265"/>
      <c r="H1" s="265"/>
      <c r="I1" s="265"/>
      <c r="J1" s="265"/>
      <c r="K1" s="265"/>
      <c r="L1" s="265"/>
      <c r="M1" s="265"/>
      <c r="N1" s="265"/>
      <c r="O1" s="265"/>
      <c r="P1" s="265"/>
      <c r="Q1" s="265"/>
      <c r="R1" s="265"/>
      <c r="S1" s="265"/>
      <c r="T1" s="265"/>
      <c r="U1" s="265"/>
      <c r="V1" s="265"/>
    </row>
    <row r="2" spans="2:23" ht="36.75" customHeight="1" x14ac:dyDescent="0.25">
      <c r="B2" s="265"/>
      <c r="C2" s="265"/>
      <c r="D2" s="265"/>
      <c r="E2" s="265"/>
      <c r="F2" s="265"/>
      <c r="G2" s="265"/>
      <c r="H2" s="265"/>
      <c r="I2" s="265"/>
      <c r="J2" s="265"/>
      <c r="K2" s="265"/>
      <c r="L2" s="265"/>
      <c r="M2" s="265"/>
      <c r="N2" s="265"/>
      <c r="O2" s="265"/>
      <c r="P2" s="265"/>
      <c r="Q2" s="265"/>
      <c r="R2" s="265"/>
      <c r="S2" s="265"/>
      <c r="T2" s="265"/>
      <c r="U2" s="265"/>
      <c r="V2" s="265"/>
    </row>
    <row r="3" spans="2:23" ht="24" customHeight="1" x14ac:dyDescent="0.25">
      <c r="B3" s="265"/>
      <c r="C3" s="265"/>
      <c r="D3" s="265"/>
      <c r="E3" s="265"/>
      <c r="F3" s="265"/>
      <c r="G3" s="265"/>
      <c r="H3" s="265"/>
      <c r="I3" s="265"/>
      <c r="J3" s="265"/>
      <c r="K3" s="265"/>
      <c r="L3" s="265"/>
      <c r="M3" s="265"/>
      <c r="N3" s="265"/>
      <c r="O3" s="265"/>
      <c r="P3" s="265"/>
      <c r="Q3" s="265"/>
      <c r="R3" s="265"/>
      <c r="S3" s="265"/>
      <c r="T3" s="265"/>
      <c r="U3" s="265"/>
      <c r="V3" s="265"/>
    </row>
    <row r="4" spans="2:23" ht="24" customHeight="1" thickBot="1" x14ac:dyDescent="0.3">
      <c r="B4" s="79"/>
      <c r="C4" s="79"/>
      <c r="D4" s="79"/>
      <c r="E4" s="79"/>
      <c r="F4" s="79"/>
      <c r="G4" s="79"/>
      <c r="H4" s="79"/>
      <c r="I4" s="79"/>
      <c r="J4" s="79"/>
      <c r="K4" s="79"/>
      <c r="L4" s="79"/>
      <c r="M4" s="79"/>
      <c r="N4" s="79"/>
      <c r="O4" s="79"/>
      <c r="P4" s="79"/>
      <c r="S4" s="14"/>
      <c r="T4" s="14"/>
      <c r="U4" s="14"/>
      <c r="V4" s="265" t="s">
        <v>59</v>
      </c>
      <c r="W4" s="265"/>
    </row>
    <row r="5" spans="2:23" ht="37.5" customHeight="1" thickBot="1" x14ac:dyDescent="0.35">
      <c r="B5" s="278" t="s">
        <v>0</v>
      </c>
      <c r="C5" s="280" t="s">
        <v>1</v>
      </c>
      <c r="D5" s="282" t="s">
        <v>7</v>
      </c>
      <c r="E5" s="283"/>
      <c r="F5" s="282" t="s">
        <v>8</v>
      </c>
      <c r="G5" s="283"/>
      <c r="H5" s="208" t="s">
        <v>11</v>
      </c>
      <c r="I5" s="209"/>
      <c r="J5" s="286" t="s">
        <v>14</v>
      </c>
      <c r="K5" s="287"/>
      <c r="L5" s="287"/>
      <c r="M5" s="287"/>
      <c r="N5" s="287"/>
      <c r="O5" s="288"/>
      <c r="P5" s="289" t="s">
        <v>68</v>
      </c>
      <c r="Q5" s="290"/>
      <c r="R5" s="291"/>
      <c r="S5" s="292" t="s">
        <v>63</v>
      </c>
      <c r="T5" s="292"/>
      <c r="U5" s="292"/>
      <c r="V5" s="293"/>
    </row>
    <row r="6" spans="2:23" ht="48" customHeight="1" thickBot="1" x14ac:dyDescent="0.3">
      <c r="B6" s="279"/>
      <c r="C6" s="281"/>
      <c r="D6" s="284"/>
      <c r="E6" s="285"/>
      <c r="F6" s="284"/>
      <c r="G6" s="285"/>
      <c r="H6" s="211"/>
      <c r="I6" s="212"/>
      <c r="J6" s="245" t="s">
        <v>12</v>
      </c>
      <c r="K6" s="246"/>
      <c r="L6" s="228" t="s">
        <v>13</v>
      </c>
      <c r="M6" s="229"/>
      <c r="N6" s="230" t="s">
        <v>15</v>
      </c>
      <c r="O6" s="231"/>
      <c r="P6" s="289" t="s">
        <v>39</v>
      </c>
      <c r="Q6" s="290"/>
      <c r="R6" s="290"/>
      <c r="S6" s="290"/>
      <c r="T6" s="290"/>
      <c r="U6" s="290"/>
      <c r="V6" s="291"/>
    </row>
    <row r="7" spans="2:23" ht="35.25" customHeight="1" x14ac:dyDescent="0.25">
      <c r="B7" s="279"/>
      <c r="C7" s="281"/>
      <c r="D7" s="276" t="s">
        <v>6</v>
      </c>
      <c r="E7" s="257" t="s">
        <v>57</v>
      </c>
      <c r="F7" s="276" t="s">
        <v>6</v>
      </c>
      <c r="G7" s="257" t="s">
        <v>50</v>
      </c>
      <c r="H7" s="259" t="s">
        <v>9</v>
      </c>
      <c r="I7" s="261" t="s">
        <v>51</v>
      </c>
      <c r="J7" s="263" t="s">
        <v>9</v>
      </c>
      <c r="K7" s="268" t="s">
        <v>64</v>
      </c>
      <c r="L7" s="268" t="s">
        <v>9</v>
      </c>
      <c r="M7" s="270" t="s">
        <v>64</v>
      </c>
      <c r="N7" s="272" t="s">
        <v>9</v>
      </c>
      <c r="O7" s="274" t="s">
        <v>52</v>
      </c>
      <c r="P7" s="266" t="s">
        <v>53</v>
      </c>
      <c r="Q7" s="266" t="s">
        <v>54</v>
      </c>
      <c r="R7" s="266" t="s">
        <v>69</v>
      </c>
      <c r="S7" s="253" t="s">
        <v>9</v>
      </c>
      <c r="T7" s="255" t="s">
        <v>65</v>
      </c>
      <c r="U7" s="255" t="s">
        <v>66</v>
      </c>
      <c r="V7" s="255" t="s">
        <v>67</v>
      </c>
    </row>
    <row r="8" spans="2:23" ht="69" customHeight="1" thickBot="1" x14ac:dyDescent="0.3">
      <c r="B8" s="279"/>
      <c r="C8" s="281"/>
      <c r="D8" s="277"/>
      <c r="E8" s="258"/>
      <c r="F8" s="277"/>
      <c r="G8" s="258"/>
      <c r="H8" s="260"/>
      <c r="I8" s="262"/>
      <c r="J8" s="264"/>
      <c r="K8" s="269"/>
      <c r="L8" s="269"/>
      <c r="M8" s="271"/>
      <c r="N8" s="273"/>
      <c r="O8" s="275"/>
      <c r="P8" s="267"/>
      <c r="Q8" s="267"/>
      <c r="R8" s="267"/>
      <c r="S8" s="254"/>
      <c r="T8" s="256"/>
      <c r="U8" s="256"/>
      <c r="V8" s="256"/>
    </row>
    <row r="9" spans="2:23" s="1" customFormat="1" ht="24" thickBot="1" x14ac:dyDescent="0.4">
      <c r="B9" s="113">
        <v>1</v>
      </c>
      <c r="C9" s="114">
        <v>2</v>
      </c>
      <c r="D9" s="113">
        <v>3</v>
      </c>
      <c r="E9" s="115">
        <v>4</v>
      </c>
      <c r="F9" s="113">
        <v>5</v>
      </c>
      <c r="G9" s="115">
        <v>6</v>
      </c>
      <c r="H9" s="116">
        <v>7</v>
      </c>
      <c r="I9" s="117">
        <v>8</v>
      </c>
      <c r="J9" s="118">
        <v>9</v>
      </c>
      <c r="K9" s="119">
        <v>10</v>
      </c>
      <c r="L9" s="120">
        <v>11</v>
      </c>
      <c r="M9" s="121">
        <v>12</v>
      </c>
      <c r="N9" s="122">
        <v>13</v>
      </c>
      <c r="O9" s="123">
        <v>14</v>
      </c>
      <c r="P9" s="124">
        <v>3</v>
      </c>
      <c r="Q9" s="124">
        <v>4</v>
      </c>
      <c r="R9" s="124">
        <v>5</v>
      </c>
      <c r="S9" s="125">
        <v>2</v>
      </c>
      <c r="T9" s="126">
        <v>6</v>
      </c>
      <c r="U9" s="126">
        <v>7</v>
      </c>
      <c r="V9" s="126">
        <v>8</v>
      </c>
    </row>
    <row r="10" spans="2:23" ht="81" customHeight="1" x14ac:dyDescent="0.25">
      <c r="B10" s="127">
        <v>1</v>
      </c>
      <c r="C10" s="128" t="s">
        <v>2</v>
      </c>
      <c r="D10" s="129">
        <f>6681837671.09/1000</f>
        <v>6681837.6710900003</v>
      </c>
      <c r="E10" s="130">
        <f>133636753.42/1000</f>
        <v>133636.75341999999</v>
      </c>
      <c r="F10" s="131">
        <f>12461586685.72/1000</f>
        <v>12461586.685719999</v>
      </c>
      <c r="G10" s="132">
        <f>186923800.28/1000</f>
        <v>186923.80028</v>
      </c>
      <c r="H10" s="133">
        <f>14011803036.4/1000</f>
        <v>14011803.0364</v>
      </c>
      <c r="I10" s="134">
        <f>179247798.65/1000</f>
        <v>179247.79865000001</v>
      </c>
      <c r="J10" s="80">
        <f>10696640407.75/1000</f>
        <v>10696640.407749999</v>
      </c>
      <c r="K10" s="81">
        <f>139056325.3/1000</f>
        <v>139056.32530000003</v>
      </c>
      <c r="L10" s="82">
        <f>N10-J10</f>
        <v>4992308.0470500011</v>
      </c>
      <c r="M10" s="83">
        <f>O10-K10</f>
        <v>64900.004612399993</v>
      </c>
      <c r="N10" s="135">
        <f>D30</f>
        <v>15688948.4548</v>
      </c>
      <c r="O10" s="130">
        <f>N10*1.3/100</f>
        <v>203956.32991240002</v>
      </c>
      <c r="P10" s="136">
        <f>N10*1/100</f>
        <v>156889.48454800001</v>
      </c>
      <c r="Q10" s="136">
        <f>N10*1.1/100</f>
        <v>172578.43300280001</v>
      </c>
      <c r="R10" s="136">
        <f>N10*1.2/100</f>
        <v>188267.38145759999</v>
      </c>
      <c r="S10" s="251">
        <f>D40*76/100</f>
        <v>16061259.699111547</v>
      </c>
      <c r="T10" s="137">
        <f>S10*1.1/100</f>
        <v>176673.85669022702</v>
      </c>
      <c r="U10" s="137">
        <f>S10*1.2/100</f>
        <v>192735.11638933857</v>
      </c>
      <c r="V10" s="137">
        <f>S10*1.3/100</f>
        <v>208796.37608845011</v>
      </c>
    </row>
    <row r="11" spans="2:23" ht="113.25" hidden="1" customHeight="1" x14ac:dyDescent="0.25">
      <c r="B11" s="138">
        <v>2</v>
      </c>
      <c r="C11" s="139" t="s">
        <v>3</v>
      </c>
      <c r="D11" s="140">
        <f>205130886.47/1000</f>
        <v>205130.88647</v>
      </c>
      <c r="E11" s="141">
        <f>4102617.72/1000</f>
        <v>4102.6177200000002</v>
      </c>
      <c r="F11" s="142">
        <f>341558922.14/1000</f>
        <v>341558.92213999998</v>
      </c>
      <c r="G11" s="143">
        <f>5123383.84/1000</f>
        <v>5123.3838399999995</v>
      </c>
      <c r="H11" s="144">
        <f>385141182.94/1000</f>
        <v>385141.18293999997</v>
      </c>
      <c r="I11" s="145">
        <f>54434068.97/1000</f>
        <v>54434.06897</v>
      </c>
      <c r="J11" s="84"/>
      <c r="K11" s="85"/>
      <c r="L11" s="86"/>
      <c r="M11" s="87"/>
      <c r="N11" s="135">
        <f t="shared" ref="N11" si="0">J11+L11</f>
        <v>0</v>
      </c>
      <c r="O11" s="130">
        <f t="shared" ref="O11:O12" si="1">N11*1.3/100</f>
        <v>0</v>
      </c>
      <c r="P11" s="136">
        <f>N11*1.3/100</f>
        <v>0</v>
      </c>
      <c r="Q11" s="136">
        <f>O11*1.3/100</f>
        <v>0</v>
      </c>
      <c r="R11" s="136">
        <f t="shared" ref="R11" si="2">Q11*1.3/100</f>
        <v>0</v>
      </c>
      <c r="S11" s="252"/>
      <c r="T11" s="130"/>
      <c r="U11" s="130"/>
      <c r="V11" s="130"/>
    </row>
    <row r="12" spans="2:23" ht="179.25" customHeight="1" thickBot="1" x14ac:dyDescent="0.3">
      <c r="B12" s="146">
        <v>2</v>
      </c>
      <c r="C12" s="147" t="s">
        <v>4</v>
      </c>
      <c r="D12" s="148">
        <f>1782046379.43/1000</f>
        <v>1782046.37943</v>
      </c>
      <c r="E12" s="149">
        <f>35640927.59/1000</f>
        <v>35640.927590000007</v>
      </c>
      <c r="F12" s="150">
        <f>3510528722.45/1000</f>
        <v>3510528.7224499998</v>
      </c>
      <c r="G12" s="151">
        <f>52657930.84/1000</f>
        <v>52657.930840000001</v>
      </c>
      <c r="H12" s="152">
        <f>3943112111.03/1000</f>
        <v>3943112.1110300003</v>
      </c>
      <c r="I12" s="153">
        <f>1066182.94/1000</f>
        <v>1066.1829399999999</v>
      </c>
      <c r="J12" s="88">
        <f>3369361387.94/1000</f>
        <v>3369361.3879400003</v>
      </c>
      <c r="K12" s="89">
        <f>43801698.04/1000</f>
        <v>43801.698039999996</v>
      </c>
      <c r="L12" s="90">
        <f>N12-J12</f>
        <v>1585043.3872599998</v>
      </c>
      <c r="M12" s="91">
        <f>O12-K12</f>
        <v>20605.564037600008</v>
      </c>
      <c r="N12" s="154">
        <f>D31</f>
        <v>4954404.7752</v>
      </c>
      <c r="O12" s="130">
        <f t="shared" si="1"/>
        <v>64407.262077600004</v>
      </c>
      <c r="P12" s="136">
        <f>N12*1/100</f>
        <v>49544.047751999999</v>
      </c>
      <c r="Q12" s="136">
        <f>N12*1.1/100</f>
        <v>54498.452527200003</v>
      </c>
      <c r="R12" s="136">
        <f>N12*1.2/100</f>
        <v>59452.857302399992</v>
      </c>
      <c r="S12" s="155">
        <f>D40*24/100</f>
        <v>5071976.7470878577</v>
      </c>
      <c r="T12" s="149">
        <f>S12*1.1/100</f>
        <v>55791.744217966443</v>
      </c>
      <c r="U12" s="149">
        <f>S12*1.2/100</f>
        <v>60863.720965054286</v>
      </c>
      <c r="V12" s="149">
        <f>S12*1.3/100</f>
        <v>65935.697712142151</v>
      </c>
    </row>
    <row r="13" spans="2:23" ht="38.25" customHeight="1" thickBot="1" x14ac:dyDescent="0.4">
      <c r="B13" s="156"/>
      <c r="C13" s="157" t="s">
        <v>5</v>
      </c>
      <c r="D13" s="158">
        <f t="shared" ref="D13:R13" si="3">SUM(D10:D12)</f>
        <v>8669014.9369900003</v>
      </c>
      <c r="E13" s="159">
        <f t="shared" si="3"/>
        <v>173380.29873000001</v>
      </c>
      <c r="F13" s="158">
        <f t="shared" si="3"/>
        <v>16313674.330309998</v>
      </c>
      <c r="G13" s="159">
        <f t="shared" si="3"/>
        <v>244705.11495999998</v>
      </c>
      <c r="H13" s="160">
        <f t="shared" si="3"/>
        <v>18340056.330370001</v>
      </c>
      <c r="I13" s="161">
        <f t="shared" si="3"/>
        <v>234748.05056</v>
      </c>
      <c r="J13" s="92">
        <f t="shared" si="3"/>
        <v>14066001.79569</v>
      </c>
      <c r="K13" s="93">
        <f t="shared" si="3"/>
        <v>182858.02334000001</v>
      </c>
      <c r="L13" s="94">
        <f t="shared" si="3"/>
        <v>6577351.4343100004</v>
      </c>
      <c r="M13" s="95">
        <f t="shared" si="3"/>
        <v>85505.568650000001</v>
      </c>
      <c r="N13" s="162">
        <f t="shared" si="3"/>
        <v>20643353.23</v>
      </c>
      <c r="O13" s="163">
        <f t="shared" si="3"/>
        <v>268363.59199000004</v>
      </c>
      <c r="P13" s="164">
        <f t="shared" si="3"/>
        <v>206433.53230000002</v>
      </c>
      <c r="Q13" s="164">
        <f t="shared" si="3"/>
        <v>227076.88553000003</v>
      </c>
      <c r="R13" s="164">
        <f t="shared" si="3"/>
        <v>247720.23875999998</v>
      </c>
      <c r="S13" s="165">
        <f>SUM(S10:S12)</f>
        <v>21133236.446199406</v>
      </c>
      <c r="T13" s="159">
        <f>SUM(T10:T12)</f>
        <v>232465.60090819348</v>
      </c>
      <c r="U13" s="159">
        <f>SUM(U10:U12)</f>
        <v>253598.83735439286</v>
      </c>
      <c r="V13" s="159">
        <f>SUM(V10:V12)</f>
        <v>274732.07380059228</v>
      </c>
    </row>
    <row r="14" spans="2:23" ht="27.75" x14ac:dyDescent="0.4">
      <c r="I14" s="2"/>
      <c r="K14" s="2"/>
      <c r="N14" s="3"/>
      <c r="O14" s="3"/>
      <c r="P14" s="74"/>
    </row>
    <row r="15" spans="2:23" x14ac:dyDescent="0.25">
      <c r="K15" s="2"/>
      <c r="N15" s="3"/>
      <c r="O15" s="3"/>
      <c r="P15" s="3"/>
    </row>
    <row r="16" spans="2:23" ht="81.75" hidden="1" customHeight="1" thickBot="1" x14ac:dyDescent="0.3">
      <c r="C16" s="166" t="s">
        <v>10</v>
      </c>
      <c r="D16" s="166"/>
      <c r="E16" s="166"/>
      <c r="F16" s="166"/>
      <c r="G16" s="166"/>
      <c r="H16" s="166"/>
      <c r="I16" s="166"/>
      <c r="J16" s="166"/>
      <c r="K16" s="166"/>
      <c r="L16" s="166"/>
      <c r="M16" s="166"/>
      <c r="N16" s="3"/>
      <c r="O16" s="75" t="s">
        <v>33</v>
      </c>
      <c r="P16" s="76">
        <f>O13-P13</f>
        <v>61930.059690000024</v>
      </c>
      <c r="Q16" s="76">
        <f>O13-Q13</f>
        <v>41286.706460000016</v>
      </c>
      <c r="R16" s="77">
        <f>O13-R13</f>
        <v>20643.353230000066</v>
      </c>
    </row>
    <row r="17" spans="2:22" ht="78" hidden="1" customHeight="1" x14ac:dyDescent="0.3">
      <c r="C17" s="167" t="s">
        <v>58</v>
      </c>
      <c r="D17" s="167"/>
      <c r="E17" s="167"/>
      <c r="F17" s="167"/>
      <c r="G17" s="167"/>
      <c r="H17" s="167"/>
      <c r="I17" s="167"/>
      <c r="J17" s="167"/>
      <c r="K17" s="167"/>
      <c r="L17" s="167"/>
      <c r="M17" s="167"/>
    </row>
    <row r="18" spans="2:22" hidden="1" x14ac:dyDescent="0.25"/>
    <row r="19" spans="2:22" ht="18.75" hidden="1" x14ac:dyDescent="0.3">
      <c r="C19" s="8"/>
    </row>
    <row r="20" spans="2:22" ht="18.75" hidden="1" x14ac:dyDescent="0.3">
      <c r="C20" s="11" t="s">
        <v>16</v>
      </c>
      <c r="D20" s="12"/>
      <c r="E20" s="11"/>
      <c r="F20" s="11"/>
      <c r="G20" s="11"/>
    </row>
    <row r="21" spans="2:22" ht="47.25" hidden="1" customHeight="1" x14ac:dyDescent="0.3">
      <c r="C21" s="167" t="s">
        <v>18</v>
      </c>
      <c r="D21" s="167"/>
      <c r="E21" s="167"/>
      <c r="F21" s="167"/>
      <c r="G21" s="167"/>
      <c r="H21" s="167"/>
      <c r="I21" s="167"/>
      <c r="J21" s="167"/>
      <c r="K21" s="167"/>
      <c r="L21" s="167"/>
      <c r="M21" s="167"/>
      <c r="N21" s="167"/>
      <c r="O21" s="167"/>
      <c r="P21" s="167"/>
      <c r="Q21" s="167"/>
      <c r="R21" s="167"/>
    </row>
    <row r="22" spans="2:22" ht="25.5" hidden="1" customHeight="1" x14ac:dyDescent="0.3">
      <c r="B22" t="s">
        <v>21</v>
      </c>
      <c r="C22" s="168" t="s">
        <v>20</v>
      </c>
      <c r="D22" s="168"/>
      <c r="E22" s="168"/>
      <c r="F22" s="168"/>
      <c r="G22" s="168"/>
      <c r="H22" s="168"/>
      <c r="I22" s="168"/>
      <c r="J22" s="168"/>
      <c r="K22" s="168"/>
      <c r="L22" s="168"/>
      <c r="M22" s="168"/>
      <c r="N22" s="168"/>
      <c r="O22" s="168"/>
      <c r="P22" s="66"/>
      <c r="Q22" s="67"/>
      <c r="R22" s="67"/>
    </row>
    <row r="23" spans="2:22" ht="20.25" hidden="1" x14ac:dyDescent="0.3">
      <c r="B23" t="s">
        <v>21</v>
      </c>
      <c r="C23" s="68" t="s">
        <v>17</v>
      </c>
      <c r="D23" s="69"/>
      <c r="E23" s="68"/>
      <c r="F23" s="68"/>
      <c r="G23" s="68"/>
      <c r="H23" s="68"/>
      <c r="I23" s="68"/>
      <c r="J23" s="68"/>
      <c r="K23" s="68"/>
      <c r="L23" s="68"/>
      <c r="M23" s="68"/>
      <c r="N23" s="68"/>
      <c r="O23" s="68"/>
      <c r="P23" s="68"/>
      <c r="Q23" s="68"/>
      <c r="R23" s="68"/>
    </row>
    <row r="24" spans="2:22" ht="24" customHeight="1" x14ac:dyDescent="0.25">
      <c r="B24" s="250" t="s">
        <v>70</v>
      </c>
      <c r="C24" s="250"/>
      <c r="D24" s="250"/>
      <c r="E24" s="250"/>
      <c r="F24" s="250"/>
      <c r="G24" s="250"/>
      <c r="H24" s="250"/>
      <c r="I24" s="250"/>
      <c r="J24" s="250"/>
      <c r="K24" s="250"/>
      <c r="L24" s="250"/>
      <c r="M24" s="250"/>
      <c r="N24" s="250"/>
      <c r="O24" s="250"/>
      <c r="P24" s="250"/>
      <c r="Q24" s="250"/>
      <c r="R24" s="250"/>
      <c r="S24" s="250"/>
      <c r="T24" s="250"/>
      <c r="U24" s="250"/>
      <c r="V24" s="250"/>
    </row>
    <row r="25" spans="2:22" ht="18" customHeight="1" x14ac:dyDescent="0.25">
      <c r="B25" s="250"/>
      <c r="C25" s="250"/>
      <c r="D25" s="250"/>
      <c r="E25" s="250"/>
      <c r="F25" s="250"/>
      <c r="G25" s="250"/>
      <c r="H25" s="250"/>
      <c r="I25" s="250"/>
      <c r="J25" s="250"/>
      <c r="K25" s="250"/>
      <c r="L25" s="250"/>
      <c r="M25" s="250"/>
      <c r="N25" s="250"/>
      <c r="O25" s="250"/>
      <c r="P25" s="250"/>
      <c r="Q25" s="250"/>
      <c r="R25" s="250"/>
      <c r="S25" s="250"/>
      <c r="T25" s="250"/>
      <c r="U25" s="250"/>
      <c r="V25" s="250"/>
    </row>
    <row r="26" spans="2:22" ht="49.5" customHeight="1" x14ac:dyDescent="0.25">
      <c r="B26" s="250"/>
      <c r="C26" s="250"/>
      <c r="D26" s="250"/>
      <c r="E26" s="250"/>
      <c r="F26" s="250"/>
      <c r="G26" s="250"/>
      <c r="H26" s="250"/>
      <c r="I26" s="250"/>
      <c r="J26" s="250"/>
      <c r="K26" s="250"/>
      <c r="L26" s="250"/>
      <c r="M26" s="250"/>
      <c r="N26" s="250"/>
      <c r="O26" s="250"/>
      <c r="P26" s="250"/>
      <c r="Q26" s="250"/>
      <c r="R26" s="250"/>
      <c r="S26" s="250"/>
      <c r="T26" s="250"/>
      <c r="U26" s="250"/>
      <c r="V26" s="250"/>
    </row>
    <row r="27" spans="2:22" ht="30" customHeight="1" x14ac:dyDescent="0.35">
      <c r="C27" s="70"/>
      <c r="D27" s="71"/>
      <c r="E27" s="70"/>
      <c r="F27" s="70"/>
      <c r="G27" s="70"/>
      <c r="H27" s="70"/>
      <c r="I27" s="8"/>
      <c r="J27" s="8"/>
      <c r="K27" s="8"/>
      <c r="L27" s="8"/>
      <c r="M27" s="8"/>
    </row>
    <row r="28" spans="2:22" ht="34.5" customHeight="1" x14ac:dyDescent="0.35">
      <c r="C28" s="70"/>
      <c r="D28" s="70"/>
      <c r="E28" s="70"/>
      <c r="F28" s="70"/>
      <c r="G28" s="70"/>
      <c r="H28" s="70"/>
    </row>
    <row r="29" spans="2:22" ht="57" customHeight="1" x14ac:dyDescent="0.35">
      <c r="C29" s="70"/>
      <c r="D29" s="70"/>
      <c r="E29" s="70"/>
      <c r="F29" s="70"/>
      <c r="G29" s="70"/>
      <c r="H29" s="70"/>
    </row>
    <row r="30" spans="2:22" ht="43.5" customHeight="1" x14ac:dyDescent="0.35">
      <c r="C30" s="70"/>
      <c r="D30" s="71">
        <f>20643353.23*76/100</f>
        <v>15688948.4548</v>
      </c>
      <c r="E30" s="71">
        <f>D30*1.3/100</f>
        <v>203956.32991240002</v>
      </c>
      <c r="F30" s="70"/>
      <c r="G30" s="70"/>
      <c r="H30" s="70"/>
    </row>
    <row r="31" spans="2:22" ht="23.25" x14ac:dyDescent="0.35">
      <c r="C31" s="70"/>
      <c r="D31" s="71">
        <f>20643353.23-D30</f>
        <v>4954404.7752</v>
      </c>
      <c r="E31" s="71">
        <f>D31*1.3/100</f>
        <v>64407.262077600004</v>
      </c>
      <c r="F31" s="70"/>
      <c r="G31" s="70"/>
      <c r="H31" s="70"/>
    </row>
    <row r="32" spans="2:22" ht="35.25" customHeight="1" x14ac:dyDescent="0.35">
      <c r="C32" s="70"/>
      <c r="D32" s="70" t="s">
        <v>29</v>
      </c>
      <c r="E32" s="70" t="s">
        <v>30</v>
      </c>
      <c r="F32" s="70"/>
      <c r="G32" s="70"/>
      <c r="H32" s="70"/>
    </row>
    <row r="33" spans="3:13" ht="21.75" customHeight="1" x14ac:dyDescent="0.35">
      <c r="C33" s="70"/>
      <c r="D33" s="70"/>
      <c r="E33" s="70"/>
      <c r="F33" s="70"/>
      <c r="G33" s="70"/>
      <c r="H33" s="70"/>
      <c r="M33">
        <v>1</v>
      </c>
    </row>
    <row r="34" spans="3:13" ht="100.5" customHeight="1" x14ac:dyDescent="0.35">
      <c r="C34" s="64"/>
      <c r="D34" s="10"/>
      <c r="E34" s="10"/>
      <c r="F34" s="10"/>
      <c r="G34" s="10"/>
      <c r="M34">
        <v>2</v>
      </c>
    </row>
    <row r="35" spans="3:13" ht="37.5" customHeight="1" x14ac:dyDescent="0.35">
      <c r="C35" s="10"/>
      <c r="D35" s="65">
        <v>22898308.399999999</v>
      </c>
      <c r="E35" s="10"/>
      <c r="F35" s="10"/>
      <c r="G35" s="10"/>
    </row>
    <row r="36" spans="3:13" ht="23.25" x14ac:dyDescent="0.35">
      <c r="C36" s="10"/>
      <c r="D36" s="65">
        <v>1261971.8799999999</v>
      </c>
      <c r="E36" s="10"/>
      <c r="F36" s="10"/>
      <c r="G36" s="10"/>
    </row>
    <row r="37" spans="3:13" ht="23.25" x14ac:dyDescent="0.35">
      <c r="C37" s="10"/>
      <c r="D37" s="65">
        <v>228368</v>
      </c>
      <c r="E37" s="10"/>
      <c r="F37" s="10"/>
      <c r="G37" s="10"/>
    </row>
    <row r="38" spans="3:13" ht="23.25" x14ac:dyDescent="0.35">
      <c r="C38" s="10"/>
      <c r="D38" s="10"/>
      <c r="E38" s="10"/>
      <c r="F38" s="10"/>
      <c r="G38" s="10"/>
    </row>
    <row r="39" spans="3:13" ht="23.25" x14ac:dyDescent="0.35">
      <c r="C39" s="10"/>
      <c r="D39" s="65">
        <f>D35-D36-D37</f>
        <v>21407968.52</v>
      </c>
      <c r="E39" s="10" t="s">
        <v>43</v>
      </c>
      <c r="F39" s="10"/>
      <c r="G39" s="10"/>
    </row>
    <row r="40" spans="3:13" ht="23.25" customHeight="1" x14ac:dyDescent="0.35">
      <c r="C40" s="10"/>
      <c r="D40" s="65">
        <f>D39-D41</f>
        <v>21133236.446199406</v>
      </c>
      <c r="E40" s="10" t="s">
        <v>42</v>
      </c>
      <c r="F40" s="10"/>
      <c r="G40" s="10"/>
    </row>
    <row r="41" spans="3:13" ht="23.25" x14ac:dyDescent="0.35">
      <c r="C41" s="10"/>
      <c r="D41" s="65">
        <f>D39/101.3*1.3</f>
        <v>274732.07380059233</v>
      </c>
      <c r="E41" s="10" t="s">
        <v>41</v>
      </c>
      <c r="F41" s="10"/>
      <c r="G41" s="10"/>
    </row>
    <row r="42" spans="3:13" ht="23.25" x14ac:dyDescent="0.35">
      <c r="C42" s="10"/>
      <c r="D42" s="10"/>
      <c r="E42" s="10"/>
      <c r="F42" s="10"/>
      <c r="G42" s="10"/>
    </row>
  </sheetData>
  <mergeCells count="39">
    <mergeCell ref="V4:W4"/>
    <mergeCell ref="B5:B8"/>
    <mergeCell ref="C5:C8"/>
    <mergeCell ref="D5:E6"/>
    <mergeCell ref="F5:G6"/>
    <mergeCell ref="H5:I6"/>
    <mergeCell ref="J5:O5"/>
    <mergeCell ref="P5:R5"/>
    <mergeCell ref="J6:K6"/>
    <mergeCell ref="S5:V5"/>
    <mergeCell ref="P6:V6"/>
    <mergeCell ref="B1:V3"/>
    <mergeCell ref="Q7:Q8"/>
    <mergeCell ref="R7:R8"/>
    <mergeCell ref="C16:M16"/>
    <mergeCell ref="C17:M17"/>
    <mergeCell ref="K7:K8"/>
    <mergeCell ref="L7:L8"/>
    <mergeCell ref="M7:M8"/>
    <mergeCell ref="N7:N8"/>
    <mergeCell ref="O7:O8"/>
    <mergeCell ref="P7:P8"/>
    <mergeCell ref="L6:M6"/>
    <mergeCell ref="N6:O6"/>
    <mergeCell ref="D7:D8"/>
    <mergeCell ref="E7:E8"/>
    <mergeCell ref="F7:F8"/>
    <mergeCell ref="B24:V26"/>
    <mergeCell ref="S10:S11"/>
    <mergeCell ref="S7:S8"/>
    <mergeCell ref="T7:T8"/>
    <mergeCell ref="U7:U8"/>
    <mergeCell ref="V7:V8"/>
    <mergeCell ref="C21:R21"/>
    <mergeCell ref="C22:O22"/>
    <mergeCell ref="G7:G8"/>
    <mergeCell ref="H7:H8"/>
    <mergeCell ref="I7:I8"/>
    <mergeCell ref="J7:J8"/>
  </mergeCells>
  <pageMargins left="0.23622047244094491" right="0.19685039370078741"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2012-2014гг</vt:lpstr>
      <vt:lpstr>2015 год</vt:lpstr>
      <vt:lpstr>2016 год</vt:lpstr>
      <vt:lpstr>'2012-2014гг'!Область_печати</vt:lpstr>
      <vt:lpstr>'2016 год'!Область_печати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Фёдоровых Ирина Александровна</dc:creator>
  <cp:lastModifiedBy>Надеина</cp:lastModifiedBy>
  <cp:lastPrinted>2015-09-15T00:59:14Z</cp:lastPrinted>
  <dcterms:created xsi:type="dcterms:W3CDTF">2014-03-17T06:26:37Z</dcterms:created>
  <dcterms:modified xsi:type="dcterms:W3CDTF">2015-09-15T00:59:32Z</dcterms:modified>
</cp:coreProperties>
</file>