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K61" i="1" l="1"/>
  <c r="J61" i="1"/>
  <c r="I61" i="1"/>
  <c r="H61" i="1"/>
  <c r="G61" i="1"/>
  <c r="F61" i="1"/>
  <c r="E61" i="1"/>
  <c r="D61" i="1"/>
  <c r="C61" i="1"/>
  <c r="Y60" i="1"/>
  <c r="X60" i="1"/>
  <c r="W60" i="1"/>
  <c r="V60" i="1"/>
  <c r="Q60" i="1"/>
  <c r="K60" i="1"/>
  <c r="T59" i="1"/>
  <c r="Y59" i="1" s="1"/>
  <c r="S59" i="1"/>
  <c r="X59" i="1" s="1"/>
  <c r="R59" i="1"/>
  <c r="W59" i="1" s="1"/>
  <c r="Q59" i="1"/>
  <c r="K59" i="1"/>
  <c r="T58" i="1"/>
  <c r="Y58" i="1" s="1"/>
  <c r="S58" i="1"/>
  <c r="X58" i="1" s="1"/>
  <c r="R58" i="1"/>
  <c r="W58" i="1" s="1"/>
  <c r="Q58" i="1"/>
  <c r="T57" i="1"/>
  <c r="Y57" i="1" s="1"/>
  <c r="S57" i="1"/>
  <c r="X57" i="1" s="1"/>
  <c r="R57" i="1"/>
  <c r="W57" i="1" s="1"/>
  <c r="Q57" i="1"/>
  <c r="T56" i="1"/>
  <c r="Y56" i="1" s="1"/>
  <c r="S56" i="1"/>
  <c r="X56" i="1" s="1"/>
  <c r="R56" i="1"/>
  <c r="W56" i="1" s="1"/>
  <c r="Q56" i="1"/>
  <c r="T55" i="1"/>
  <c r="Y55" i="1" s="1"/>
  <c r="S55" i="1"/>
  <c r="X55" i="1" s="1"/>
  <c r="R55" i="1"/>
  <c r="W55" i="1" s="1"/>
  <c r="Q55" i="1"/>
  <c r="T54" i="1"/>
  <c r="Y54" i="1" s="1"/>
  <c r="S54" i="1"/>
  <c r="X54" i="1" s="1"/>
  <c r="R54" i="1"/>
  <c r="W54" i="1" s="1"/>
  <c r="Q54" i="1"/>
  <c r="T53" i="1"/>
  <c r="Y53" i="1" s="1"/>
  <c r="S53" i="1"/>
  <c r="X53" i="1" s="1"/>
  <c r="R53" i="1"/>
  <c r="W53" i="1" s="1"/>
  <c r="Q53" i="1"/>
  <c r="T52" i="1"/>
  <c r="Y52" i="1" s="1"/>
  <c r="S52" i="1"/>
  <c r="X52" i="1" s="1"/>
  <c r="R52" i="1"/>
  <c r="W52" i="1" s="1"/>
  <c r="Q52" i="1"/>
  <c r="T51" i="1"/>
  <c r="Y51" i="1" s="1"/>
  <c r="S51" i="1"/>
  <c r="X51" i="1" s="1"/>
  <c r="R51" i="1"/>
  <c r="W51" i="1" s="1"/>
  <c r="Q51" i="1"/>
  <c r="Q50" i="1" s="1"/>
  <c r="Y50" i="1"/>
  <c r="X50" i="1"/>
  <c r="W50" i="1"/>
  <c r="V50" i="1"/>
  <c r="O50" i="1"/>
  <c r="M50" i="1"/>
  <c r="L50" i="1"/>
  <c r="T49" i="1"/>
  <c r="Y49" i="1" s="1"/>
  <c r="S49" i="1"/>
  <c r="X49" i="1" s="1"/>
  <c r="R49" i="1"/>
  <c r="W49" i="1" s="1"/>
  <c r="Q49" i="1"/>
  <c r="T48" i="1"/>
  <c r="Y48" i="1" s="1"/>
  <c r="S48" i="1"/>
  <c r="X48" i="1" s="1"/>
  <c r="R48" i="1"/>
  <c r="W48" i="1" s="1"/>
  <c r="Q48" i="1"/>
  <c r="K48" i="1"/>
  <c r="W47" i="1"/>
  <c r="T47" i="1"/>
  <c r="Y47" i="1" s="1"/>
  <c r="S47" i="1"/>
  <c r="X47" i="1" s="1"/>
  <c r="Q47" i="1"/>
  <c r="T46" i="1"/>
  <c r="Y46" i="1" s="1"/>
  <c r="S46" i="1"/>
  <c r="X46" i="1" s="1"/>
  <c r="R46" i="1"/>
  <c r="W46" i="1" s="1"/>
  <c r="Q46" i="1"/>
  <c r="T45" i="1"/>
  <c r="Y45" i="1" s="1"/>
  <c r="S45" i="1"/>
  <c r="X45" i="1" s="1"/>
  <c r="R45" i="1"/>
  <c r="W45" i="1" s="1"/>
  <c r="Q45" i="1"/>
  <c r="T44" i="1"/>
  <c r="Y44" i="1" s="1"/>
  <c r="S44" i="1"/>
  <c r="X44" i="1" s="1"/>
  <c r="R44" i="1"/>
  <c r="W44" i="1" s="1"/>
  <c r="Q44" i="1"/>
  <c r="T43" i="1"/>
  <c r="Y43" i="1" s="1"/>
  <c r="S43" i="1"/>
  <c r="X43" i="1" s="1"/>
  <c r="R43" i="1"/>
  <c r="W43" i="1" s="1"/>
  <c r="Q43" i="1"/>
  <c r="T42" i="1"/>
  <c r="Y42" i="1" s="1"/>
  <c r="S42" i="1"/>
  <c r="X42" i="1" s="1"/>
  <c r="R42" i="1"/>
  <c r="W42" i="1" s="1"/>
  <c r="Q42" i="1"/>
  <c r="T41" i="1"/>
  <c r="Y41" i="1" s="1"/>
  <c r="S41" i="1"/>
  <c r="X41" i="1" s="1"/>
  <c r="R41" i="1"/>
  <c r="W41" i="1" s="1"/>
  <c r="Q41" i="1"/>
  <c r="T40" i="1"/>
  <c r="Y40" i="1" s="1"/>
  <c r="S40" i="1"/>
  <c r="X40" i="1" s="1"/>
  <c r="R40" i="1"/>
  <c r="W40" i="1" s="1"/>
  <c r="Q40" i="1"/>
  <c r="T39" i="1"/>
  <c r="Y39" i="1" s="1"/>
  <c r="S39" i="1"/>
  <c r="X39" i="1" s="1"/>
  <c r="R39" i="1"/>
  <c r="W39" i="1" s="1"/>
  <c r="Q39" i="1"/>
  <c r="O39" i="1"/>
  <c r="M39" i="1"/>
  <c r="L39" i="1"/>
  <c r="T38" i="1"/>
  <c r="Y38" i="1" s="1"/>
  <c r="S38" i="1"/>
  <c r="X38" i="1" s="1"/>
  <c r="R38" i="1"/>
  <c r="W38" i="1" s="1"/>
  <c r="Q38" i="1"/>
  <c r="T37" i="1"/>
  <c r="Y37" i="1" s="1"/>
  <c r="S37" i="1"/>
  <c r="X37" i="1" s="1"/>
  <c r="R37" i="1"/>
  <c r="W37" i="1" s="1"/>
  <c r="Q37" i="1"/>
  <c r="K37" i="1"/>
  <c r="T36" i="1"/>
  <c r="Y36" i="1" s="1"/>
  <c r="S36" i="1"/>
  <c r="X36" i="1" s="1"/>
  <c r="R36" i="1"/>
  <c r="W36" i="1" s="1"/>
  <c r="Q36" i="1"/>
  <c r="T35" i="1"/>
  <c r="Y35" i="1" s="1"/>
  <c r="S35" i="1"/>
  <c r="X35" i="1" s="1"/>
  <c r="R35" i="1"/>
  <c r="W35" i="1" s="1"/>
  <c r="Q35" i="1"/>
  <c r="T34" i="1"/>
  <c r="Y34" i="1" s="1"/>
  <c r="S34" i="1"/>
  <c r="X34" i="1" s="1"/>
  <c r="R34" i="1"/>
  <c r="W34" i="1" s="1"/>
  <c r="Q34" i="1"/>
  <c r="T33" i="1"/>
  <c r="Y33" i="1" s="1"/>
  <c r="S33" i="1"/>
  <c r="X33" i="1" s="1"/>
  <c r="R33" i="1"/>
  <c r="W33" i="1" s="1"/>
  <c r="Q33" i="1"/>
  <c r="T32" i="1"/>
  <c r="Y32" i="1" s="1"/>
  <c r="S32" i="1"/>
  <c r="X32" i="1" s="1"/>
  <c r="R32" i="1"/>
  <c r="W32" i="1" s="1"/>
  <c r="Q32" i="1"/>
  <c r="T31" i="1"/>
  <c r="Y31" i="1" s="1"/>
  <c r="S31" i="1"/>
  <c r="X31" i="1" s="1"/>
  <c r="R31" i="1"/>
  <c r="W31" i="1" s="1"/>
  <c r="Q31" i="1"/>
  <c r="X30" i="1"/>
  <c r="T30" i="1"/>
  <c r="Y30" i="1" s="1"/>
  <c r="R30" i="1"/>
  <c r="V30" i="1" s="1"/>
  <c r="Q30" i="1"/>
  <c r="T29" i="1"/>
  <c r="Y29" i="1" s="1"/>
  <c r="S29" i="1"/>
  <c r="X29" i="1" s="1"/>
  <c r="R29" i="1"/>
  <c r="W29" i="1" s="1"/>
  <c r="Q29" i="1"/>
  <c r="T28" i="1"/>
  <c r="Y28" i="1" s="1"/>
  <c r="S28" i="1"/>
  <c r="X28" i="1" s="1"/>
  <c r="R28" i="1"/>
  <c r="W28" i="1" s="1"/>
  <c r="Q28" i="1"/>
  <c r="O28" i="1"/>
  <c r="M28" i="1"/>
  <c r="L28" i="1"/>
  <c r="T27" i="1"/>
  <c r="Y27" i="1" s="1"/>
  <c r="S27" i="1"/>
  <c r="X27" i="1" s="1"/>
  <c r="R27" i="1"/>
  <c r="W27" i="1" s="1"/>
  <c r="Q27" i="1"/>
  <c r="T26" i="1"/>
  <c r="Y26" i="1" s="1"/>
  <c r="S26" i="1"/>
  <c r="X26" i="1" s="1"/>
  <c r="R26" i="1"/>
  <c r="W26" i="1" s="1"/>
  <c r="Q26" i="1"/>
  <c r="K26" i="1"/>
  <c r="T25" i="1"/>
  <c r="Y25" i="1" s="1"/>
  <c r="S25" i="1"/>
  <c r="X25" i="1" s="1"/>
  <c r="R25" i="1"/>
  <c r="W25" i="1" s="1"/>
  <c r="Q25" i="1"/>
  <c r="T24" i="1"/>
  <c r="Y24" i="1" s="1"/>
  <c r="S24" i="1"/>
  <c r="X24" i="1" s="1"/>
  <c r="R24" i="1"/>
  <c r="W24" i="1" s="1"/>
  <c r="Q24" i="1"/>
  <c r="T23" i="1"/>
  <c r="Y23" i="1" s="1"/>
  <c r="S23" i="1"/>
  <c r="X23" i="1" s="1"/>
  <c r="R23" i="1"/>
  <c r="W23" i="1" s="1"/>
  <c r="Q23" i="1"/>
  <c r="T22" i="1"/>
  <c r="Y22" i="1" s="1"/>
  <c r="S22" i="1"/>
  <c r="X22" i="1" s="1"/>
  <c r="R22" i="1"/>
  <c r="W22" i="1" s="1"/>
  <c r="Q22" i="1"/>
  <c r="T21" i="1"/>
  <c r="Y21" i="1" s="1"/>
  <c r="S21" i="1"/>
  <c r="X21" i="1" s="1"/>
  <c r="R21" i="1"/>
  <c r="W21" i="1" s="1"/>
  <c r="Q21" i="1"/>
  <c r="T20" i="1"/>
  <c r="Y20" i="1" s="1"/>
  <c r="S20" i="1"/>
  <c r="R20" i="1"/>
  <c r="W20" i="1" s="1"/>
  <c r="Q20" i="1"/>
  <c r="T19" i="1"/>
  <c r="Y19" i="1" s="1"/>
  <c r="S19" i="1"/>
  <c r="X19" i="1" s="1"/>
  <c r="R19" i="1"/>
  <c r="W19" i="1" s="1"/>
  <c r="Q19" i="1"/>
  <c r="T18" i="1"/>
  <c r="Y18" i="1" s="1"/>
  <c r="S18" i="1"/>
  <c r="X18" i="1" s="1"/>
  <c r="R18" i="1"/>
  <c r="W18" i="1" s="1"/>
  <c r="Q18" i="1"/>
  <c r="T17" i="1"/>
  <c r="Y17" i="1" s="1"/>
  <c r="S17" i="1"/>
  <c r="X17" i="1" s="1"/>
  <c r="R17" i="1"/>
  <c r="W17" i="1" s="1"/>
  <c r="Q17" i="1"/>
  <c r="O17" i="1"/>
  <c r="M17" i="1"/>
  <c r="L17" i="1"/>
  <c r="T16" i="1"/>
  <c r="V16" i="1" s="1"/>
  <c r="S16" i="1"/>
  <c r="X16" i="1" s="1"/>
  <c r="R16" i="1"/>
  <c r="W16" i="1" s="1"/>
  <c r="Q16" i="1"/>
  <c r="T15" i="1"/>
  <c r="V15" i="1" s="1"/>
  <c r="S15" i="1"/>
  <c r="X15" i="1" s="1"/>
  <c r="R15" i="1"/>
  <c r="W15" i="1" s="1"/>
  <c r="Q15" i="1"/>
  <c r="K15" i="1"/>
  <c r="T14" i="1"/>
  <c r="Y14" i="1" s="1"/>
  <c r="S14" i="1"/>
  <c r="V14" i="1" s="1"/>
  <c r="R14" i="1"/>
  <c r="W14" i="1" s="1"/>
  <c r="Q14" i="1"/>
  <c r="T13" i="1"/>
  <c r="Y13" i="1" s="1"/>
  <c r="S13" i="1"/>
  <c r="X13" i="1" s="1"/>
  <c r="R13" i="1"/>
  <c r="W13" i="1" s="1"/>
  <c r="Q13" i="1"/>
  <c r="T12" i="1"/>
  <c r="Y12" i="1" s="1"/>
  <c r="S12" i="1"/>
  <c r="X12" i="1" s="1"/>
  <c r="R12" i="1"/>
  <c r="W12" i="1" s="1"/>
  <c r="Q12" i="1"/>
  <c r="T11" i="1"/>
  <c r="Y11" i="1" s="1"/>
  <c r="S11" i="1"/>
  <c r="X11" i="1" s="1"/>
  <c r="R11" i="1"/>
  <c r="W11" i="1" s="1"/>
  <c r="Q11" i="1"/>
  <c r="T10" i="1"/>
  <c r="Y10" i="1" s="1"/>
  <c r="S10" i="1"/>
  <c r="X10" i="1" s="1"/>
  <c r="R10" i="1"/>
  <c r="W10" i="1" s="1"/>
  <c r="Q10" i="1"/>
  <c r="T9" i="1"/>
  <c r="Y9" i="1" s="1"/>
  <c r="S9" i="1"/>
  <c r="X9" i="1" s="1"/>
  <c r="R9" i="1"/>
  <c r="W9" i="1" s="1"/>
  <c r="Q9" i="1"/>
  <c r="T8" i="1"/>
  <c r="Y8" i="1" s="1"/>
  <c r="S8" i="1"/>
  <c r="X8" i="1" s="1"/>
  <c r="R8" i="1"/>
  <c r="W8" i="1" s="1"/>
  <c r="Q8" i="1"/>
  <c r="T7" i="1"/>
  <c r="Y7" i="1" s="1"/>
  <c r="S7" i="1"/>
  <c r="S6" i="1" s="1"/>
  <c r="R7" i="1"/>
  <c r="W7" i="1" s="1"/>
  <c r="Q7" i="1"/>
  <c r="Q6" i="1" s="1"/>
  <c r="Q61" i="1" s="1"/>
  <c r="U6" i="1"/>
  <c r="U61" i="1" s="1"/>
  <c r="T6" i="1"/>
  <c r="T61" i="1" s="1"/>
  <c r="Y61" i="1" s="1"/>
  <c r="R6" i="1"/>
  <c r="R61" i="1" s="1"/>
  <c r="W61" i="1" s="1"/>
  <c r="P6" i="1"/>
  <c r="P61" i="1" s="1"/>
  <c r="O6" i="1"/>
  <c r="O61" i="1" s="1"/>
  <c r="N6" i="1"/>
  <c r="N61" i="1" s="1"/>
  <c r="M6" i="1"/>
  <c r="L6" i="1"/>
  <c r="L61" i="1" s="1"/>
  <c r="S61" i="1" l="1"/>
  <c r="X61" i="1" s="1"/>
  <c r="X6" i="1"/>
  <c r="V8" i="1"/>
  <c r="V9" i="1"/>
  <c r="V10" i="1"/>
  <c r="V11" i="1"/>
  <c r="V12" i="1"/>
  <c r="X14" i="1"/>
  <c r="Y16" i="1"/>
  <c r="V17" i="1"/>
  <c r="V18" i="1"/>
  <c r="V19" i="1"/>
  <c r="X20" i="1"/>
  <c r="V20" i="1"/>
  <c r="V6" i="1"/>
  <c r="V7" i="1"/>
  <c r="X7" i="1"/>
  <c r="V13" i="1"/>
  <c r="Y15" i="1"/>
  <c r="M61" i="1"/>
  <c r="W6" i="1"/>
  <c r="Y6" i="1"/>
  <c r="V21" i="1"/>
  <c r="V22" i="1"/>
  <c r="V23" i="1"/>
  <c r="V24" i="1"/>
  <c r="V25" i="1"/>
  <c r="V28" i="1"/>
  <c r="V29" i="1"/>
  <c r="W30" i="1"/>
  <c r="V37" i="1"/>
  <c r="V38" i="1"/>
  <c r="V47" i="1"/>
  <c r="V59" i="1"/>
  <c r="V26" i="1"/>
  <c r="V27" i="1"/>
  <c r="V31" i="1"/>
  <c r="V32" i="1"/>
  <c r="V33" i="1"/>
  <c r="V34" i="1"/>
  <c r="V35" i="1"/>
  <c r="V36" i="1"/>
  <c r="V39" i="1"/>
  <c r="V40" i="1"/>
  <c r="V41" i="1"/>
  <c r="V42" i="1"/>
  <c r="V43" i="1"/>
  <c r="V44" i="1"/>
  <c r="V45" i="1"/>
  <c r="V46" i="1"/>
  <c r="V48" i="1"/>
  <c r="V49" i="1"/>
  <c r="V51" i="1"/>
  <c r="V52" i="1"/>
  <c r="V53" i="1"/>
  <c r="V54" i="1"/>
  <c r="V55" i="1"/>
  <c r="V56" i="1"/>
  <c r="V57" i="1"/>
  <c r="V58" i="1"/>
</calcChain>
</file>

<file path=xl/sharedStrings.xml><?xml version="1.0" encoding="utf-8"?>
<sst xmlns="http://schemas.openxmlformats.org/spreadsheetml/2006/main" count="91" uniqueCount="36">
  <si>
    <r>
      <t xml:space="preserve">Анализ исполнения расходов субвенций на обеспечение государственных гарантий на получение общедоступного и бесплатного дошкольного, начального общего, основного общего, среднего общего, дополнительного образования детей в </t>
    </r>
    <r>
      <rPr>
        <b/>
        <sz val="14"/>
        <color theme="1"/>
        <rFont val="Times New Roman"/>
        <family val="1"/>
        <charset val="204"/>
      </rPr>
      <t xml:space="preserve">муниципальных дошкольных образовательных учреждениях Пограничного муниципального района </t>
    </r>
    <r>
      <rPr>
        <sz val="14"/>
        <color theme="1"/>
        <rFont val="Times New Roman"/>
        <family val="1"/>
        <charset val="204"/>
      </rPr>
      <t>с января по октябрь 2014 года</t>
    </r>
  </si>
  <si>
    <t>(тыс. рублей)</t>
  </si>
  <si>
    <t>№ п.п.</t>
  </si>
  <si>
    <t>Наименование учреждений</t>
  </si>
  <si>
    <t xml:space="preserve">Количество по состоянию на: </t>
  </si>
  <si>
    <t>Штатная численность на 01.09.2014</t>
  </si>
  <si>
    <t>Среднесписочная численность на 01.11.2014</t>
  </si>
  <si>
    <t>Начислено на 01.11.2014</t>
  </si>
  <si>
    <t>Средняя зарплата*</t>
  </si>
  <si>
    <t xml:space="preserve"> 01.01.2014</t>
  </si>
  <si>
    <t xml:space="preserve"> 01.11.2014</t>
  </si>
  <si>
    <t>АУП</t>
  </si>
  <si>
    <t>ПП</t>
  </si>
  <si>
    <t>УВП</t>
  </si>
  <si>
    <t>ПП:Воспит, муз.раб</t>
  </si>
  <si>
    <t>Всего</t>
  </si>
  <si>
    <t>воспи-танники</t>
  </si>
  <si>
    <t>группы</t>
  </si>
  <si>
    <t>нештатн.</t>
  </si>
  <si>
    <t>МБДОУ "Детский сад № 1"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</si>
  <si>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</si>
  <si>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</si>
  <si>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</si>
  <si>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</si>
  <si>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</si>
  <si>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</si>
  <si>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</si>
  <si>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</si>
  <si>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</si>
  <si>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</si>
  <si>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МБДОУ "Детский сад № 2"</t>
  </si>
  <si>
    <t>МКДОУ "Детский сад "Светлячок"</t>
  </si>
  <si>
    <t>МКДОУ "Детский сад № 3 "Ручеек"</t>
  </si>
  <si>
    <t>МКДОУ "Детский сад № 4 "Солнышко"</t>
  </si>
  <si>
    <t>ИТОГО ДОУ по Пограничному МР</t>
  </si>
  <si>
    <t>* Расчет произведен исходя из штатной численности персонала, так как  в связи с текучестью кадрового состава в расчет среднесписочной численности включены сотрудники, замещающие в расчетном периоде одни и те же должности.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</si>
</sst>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/>
    <xf numFmtId="0" fontId="4" fillId="0" borderId="5" xfId="0" applyFont="1" applyFill="1" applyBorder="1" applyAlignment="1">
      <alignment horizontal="left" vertical="center" wrapText="1"/>
    </xf>
    <xf numFmtId="164" fontId="4" fillId="0" borderId="5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top"/>
    </xf>
    <xf numFmtId="2" fontId="5" fillId="0" borderId="5" xfId="0" applyNumberFormat="1" applyFont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2" borderId="5" xfId="0" applyNumberFormat="1" applyFont="1" applyFill="1" applyBorder="1" applyAlignment="1">
      <alignment horizontal="center" vertical="center"/>
    </xf>
    <xf numFmtId="0" fontId="0" fillId="0" borderId="5" xfId="0" applyBorder="1"/>
    <xf numFmtId="0" fontId="7" fillId="0" borderId="5" xfId="0" applyFont="1" applyFill="1" applyBorder="1" applyAlignment="1">
      <alignment horizontal="left" vertical="center" wrapText="1"/>
    </xf>
    <xf numFmtId="164" fontId="7" fillId="0" borderId="5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8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top"/>
    </xf>
    <xf numFmtId="164" fontId="4" fillId="0" borderId="4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tabSelected="1" workbookViewId="0">
      <selection activeCell="B71" sqref="B71"/>
    </sheetView>
  </sheetViews>
  <sheetFormatPr defaultRowHeight="15" x14ac:dyDescent="0.25"/>
  <cols>
    <col min="1" max="1" width="4.7109375" customWidth="1"/>
    <col min="2" max="2" width="27.5703125" customWidth="1"/>
    <col min="3" max="3" width="8" bestFit="1" customWidth="1"/>
    <col min="4" max="4" width="7.28515625" bestFit="1" customWidth="1"/>
    <col min="5" max="5" width="8.7109375" customWidth="1"/>
    <col min="6" max="7" width="7.5703125" customWidth="1"/>
    <col min="8" max="8" width="6.140625" customWidth="1"/>
    <col min="9" max="9" width="6.85546875" customWidth="1"/>
    <col min="10" max="10" width="0" hidden="1" customWidth="1"/>
    <col min="11" max="11" width="6.42578125" customWidth="1"/>
    <col min="12" max="12" width="7.85546875" customWidth="1"/>
    <col min="13" max="13" width="6.140625" customWidth="1"/>
    <col min="14" max="14" width="0" hidden="1" customWidth="1"/>
    <col min="15" max="15" width="7.85546875" customWidth="1"/>
    <col min="16" max="16" width="0" hidden="1" customWidth="1"/>
    <col min="17" max="17" width="7.85546875" customWidth="1"/>
    <col min="18" max="18" width="7.28515625" customWidth="1"/>
    <col min="19" max="19" width="8.42578125" customWidth="1"/>
    <col min="20" max="20" width="8" customWidth="1"/>
    <col min="21" max="21" width="0" hidden="1" customWidth="1"/>
    <col min="22" max="22" width="8.85546875" customWidth="1"/>
    <col min="23" max="23" width="6.5703125" customWidth="1"/>
    <col min="24" max="24" width="6.42578125" customWidth="1"/>
    <col min="25" max="25" width="6.7109375" customWidth="1"/>
  </cols>
  <sheetData>
    <row r="1" spans="1:25" ht="75.75" customHeight="1" x14ac:dyDescent="0.3">
      <c r="B1" s="27" t="s">
        <v>0</v>
      </c>
      <c r="C1" s="28"/>
      <c r="D1" s="28"/>
      <c r="E1" s="28"/>
      <c r="F1" s="28"/>
      <c r="G1" s="28"/>
      <c r="H1" s="28"/>
      <c r="I1" s="28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5" x14ac:dyDescent="0.25">
      <c r="X2" s="30" t="s">
        <v>1</v>
      </c>
      <c r="Y2" s="31"/>
    </row>
    <row r="3" spans="1:25" ht="27.75" customHeight="1" x14ac:dyDescent="0.25">
      <c r="A3" s="32" t="s">
        <v>2</v>
      </c>
      <c r="B3" s="35" t="s">
        <v>3</v>
      </c>
      <c r="C3" s="38" t="s">
        <v>4</v>
      </c>
      <c r="D3" s="39"/>
      <c r="E3" s="39"/>
      <c r="F3" s="40"/>
      <c r="G3" s="41" t="s">
        <v>5</v>
      </c>
      <c r="H3" s="42"/>
      <c r="I3" s="42"/>
      <c r="J3" s="42"/>
      <c r="K3" s="43"/>
      <c r="L3" s="41" t="s">
        <v>6</v>
      </c>
      <c r="M3" s="42"/>
      <c r="N3" s="42"/>
      <c r="O3" s="42"/>
      <c r="P3" s="42"/>
      <c r="Q3" s="43"/>
      <c r="R3" s="44" t="s">
        <v>7</v>
      </c>
      <c r="S3" s="45"/>
      <c r="T3" s="45"/>
      <c r="U3" s="45"/>
      <c r="V3" s="46"/>
      <c r="W3" s="47" t="s">
        <v>8</v>
      </c>
      <c r="X3" s="47"/>
      <c r="Y3" s="47"/>
    </row>
    <row r="4" spans="1:25" ht="15" customHeight="1" x14ac:dyDescent="0.25">
      <c r="A4" s="33"/>
      <c r="B4" s="36"/>
      <c r="C4" s="48" t="s">
        <v>9</v>
      </c>
      <c r="D4" s="49"/>
      <c r="E4" s="25" t="s">
        <v>10</v>
      </c>
      <c r="F4" s="26"/>
      <c r="G4" s="22" t="s">
        <v>11</v>
      </c>
      <c r="H4" s="22" t="s">
        <v>12</v>
      </c>
      <c r="I4" s="22" t="s">
        <v>13</v>
      </c>
      <c r="J4" s="18" t="s">
        <v>14</v>
      </c>
      <c r="K4" s="22" t="s">
        <v>15</v>
      </c>
      <c r="L4" s="22" t="s">
        <v>11</v>
      </c>
      <c r="M4" s="22" t="s">
        <v>12</v>
      </c>
      <c r="N4" s="1"/>
      <c r="O4" s="18" t="s">
        <v>13</v>
      </c>
      <c r="P4" s="18" t="s">
        <v>14</v>
      </c>
      <c r="Q4" s="22" t="s">
        <v>15</v>
      </c>
      <c r="R4" s="22" t="s">
        <v>11</v>
      </c>
      <c r="S4" s="22" t="s">
        <v>12</v>
      </c>
      <c r="T4" s="18" t="s">
        <v>13</v>
      </c>
      <c r="U4" s="18" t="s">
        <v>14</v>
      </c>
      <c r="V4" s="22" t="s">
        <v>15</v>
      </c>
      <c r="W4" s="22" t="s">
        <v>11</v>
      </c>
      <c r="X4" s="22" t="s">
        <v>12</v>
      </c>
      <c r="Y4" s="18" t="s">
        <v>13</v>
      </c>
    </row>
    <row r="5" spans="1:25" ht="30" x14ac:dyDescent="0.25">
      <c r="A5" s="34"/>
      <c r="B5" s="37"/>
      <c r="C5" s="2" t="s">
        <v>16</v>
      </c>
      <c r="D5" s="3" t="s">
        <v>17</v>
      </c>
      <c r="E5" s="2" t="s">
        <v>16</v>
      </c>
      <c r="F5" s="3" t="s">
        <v>17</v>
      </c>
      <c r="G5" s="23"/>
      <c r="H5" s="23"/>
      <c r="I5" s="23"/>
      <c r="J5" s="19"/>
      <c r="K5" s="23"/>
      <c r="L5" s="23"/>
      <c r="M5" s="24"/>
      <c r="N5" s="4" t="s">
        <v>18</v>
      </c>
      <c r="O5" s="19"/>
      <c r="P5" s="19"/>
      <c r="Q5" s="23"/>
      <c r="R5" s="23"/>
      <c r="S5" s="23"/>
      <c r="T5" s="19"/>
      <c r="U5" s="19"/>
      <c r="V5" s="23"/>
      <c r="W5" s="23"/>
      <c r="X5" s="23"/>
      <c r="Y5" s="19"/>
    </row>
    <row r="6" spans="1:25" ht="20.25" customHeight="1" x14ac:dyDescent="0.25">
      <c r="A6" s="5">
        <v>1</v>
      </c>
      <c r="B6" s="6" t="s">
        <v>19</v>
      </c>
      <c r="C6" s="7">
        <v>207</v>
      </c>
      <c r="D6" s="7">
        <v>8</v>
      </c>
      <c r="E6" s="7">
        <v>207</v>
      </c>
      <c r="F6" s="7">
        <v>7</v>
      </c>
      <c r="G6" s="8">
        <v>2</v>
      </c>
      <c r="H6" s="8">
        <v>15.5</v>
      </c>
      <c r="I6" s="8">
        <v>10</v>
      </c>
      <c r="J6" s="8"/>
      <c r="K6" s="8">
        <v>27.5</v>
      </c>
      <c r="L6" s="8">
        <f>(L7+L8+L9+L10+L11+L12+L13+L14+L15+L16)/10</f>
        <v>2.1</v>
      </c>
      <c r="M6" s="8">
        <f t="shared" ref="M6:Q6" si="0">(M7+M8+M9+M10+M11+M12+M13+M14+M15+M16)/10</f>
        <v>18.5</v>
      </c>
      <c r="N6" s="8">
        <f t="shared" si="0"/>
        <v>0</v>
      </c>
      <c r="O6" s="8">
        <f t="shared" si="0"/>
        <v>10.3</v>
      </c>
      <c r="P6" s="8">
        <f t="shared" si="0"/>
        <v>0</v>
      </c>
      <c r="Q6" s="8">
        <f t="shared" si="0"/>
        <v>30.9</v>
      </c>
      <c r="R6" s="8">
        <f>(R7+R8+R9+R10+R11+R12+R13+R14+R15+R16)/1000</f>
        <v>554.21006999999997</v>
      </c>
      <c r="S6" s="8">
        <f>(S7+S8+S9+S10+S11+S12+S13+S14+S15+S16)/1000</f>
        <v>4096.5318599999991</v>
      </c>
      <c r="T6" s="8">
        <f>(T7+T8+T9+T10+T11+T12+T13+T14+T15+T16)/1000</f>
        <v>904.69974000000002</v>
      </c>
      <c r="U6" s="8">
        <f>U7+U8+U9+U10+U11+U12+U13+U14+U15+U16</f>
        <v>0</v>
      </c>
      <c r="V6" s="8">
        <f>R6+S6+T6</f>
        <v>5555.4416699999992</v>
      </c>
      <c r="W6" s="8">
        <f>R6/G6/10</f>
        <v>27.710503499999998</v>
      </c>
      <c r="X6" s="8">
        <f>S6/H6/10</f>
        <v>26.429237806451606</v>
      </c>
      <c r="Y6" s="8">
        <f>T6/I6/10</f>
        <v>9.0469974000000004</v>
      </c>
    </row>
    <row r="7" spans="1:25" hidden="1" x14ac:dyDescent="0.25">
      <c r="A7" s="9"/>
      <c r="B7" s="10" t="s">
        <v>20</v>
      </c>
      <c r="C7" s="7">
        <v>207</v>
      </c>
      <c r="D7" s="7">
        <v>8</v>
      </c>
      <c r="E7" s="7"/>
      <c r="F7" s="7"/>
      <c r="G7" s="8"/>
      <c r="H7" s="8"/>
      <c r="I7" s="8"/>
      <c r="J7" s="11"/>
      <c r="K7" s="8"/>
      <c r="L7" s="8">
        <v>2</v>
      </c>
      <c r="M7" s="8">
        <v>19</v>
      </c>
      <c r="N7" s="8"/>
      <c r="O7" s="8">
        <v>10</v>
      </c>
      <c r="P7" s="11"/>
      <c r="Q7" s="8">
        <f>P7+O7+N7+M7+L7</f>
        <v>31</v>
      </c>
      <c r="R7" s="8">
        <f>27116.6+25907</f>
        <v>53023.6</v>
      </c>
      <c r="S7" s="8">
        <f>19277.6+10251.2+28103.2+24480+23079.35+23198+24316+19531.2+21079.84+21767.6+27596+2468.15+21163.6+21603.35+17620.47+27596+24501.46-2157.5+3015.05+16640</f>
        <v>375130.56999999995</v>
      </c>
      <c r="T7" s="8">
        <f>7775.6+8886.4+8886.4+7840.96+8886.4+8886.4+8886.4+9285.9+8886.4+8640.8-889.84</f>
        <v>85971.82</v>
      </c>
      <c r="U7" s="8"/>
      <c r="V7" s="8">
        <f>U7+T7+S7+R7</f>
        <v>514125.98999999993</v>
      </c>
      <c r="W7" s="8">
        <f>R7/L7</f>
        <v>26511.8</v>
      </c>
      <c r="X7" s="8">
        <f t="shared" ref="X7:X16" si="1">S7/(M7+N7)</f>
        <v>19743.714210526312</v>
      </c>
      <c r="Y7" s="1">
        <f>T7/O7</f>
        <v>8597.1820000000007</v>
      </c>
    </row>
    <row r="8" spans="1:25" hidden="1" x14ac:dyDescent="0.25">
      <c r="A8" s="9"/>
      <c r="B8" s="10" t="s">
        <v>21</v>
      </c>
      <c r="C8" s="7"/>
      <c r="D8" s="7"/>
      <c r="E8" s="7"/>
      <c r="F8" s="7"/>
      <c r="G8" s="8"/>
      <c r="H8" s="8"/>
      <c r="I8" s="8"/>
      <c r="J8" s="8"/>
      <c r="K8" s="8"/>
      <c r="L8" s="8">
        <v>2</v>
      </c>
      <c r="M8" s="8">
        <v>19</v>
      </c>
      <c r="N8" s="8"/>
      <c r="O8" s="8">
        <v>10</v>
      </c>
      <c r="P8" s="11"/>
      <c r="Q8" s="8">
        <f t="shared" ref="Q8:Q49" si="2">P8+O8+N8+M8+L8</f>
        <v>31</v>
      </c>
      <c r="R8" s="8">
        <f>34166.2+25907</f>
        <v>60073.2</v>
      </c>
      <c r="S8" s="8">
        <f>20394.3+25950.82+31425+29430.6+22019.35+24819.4+29808.46+28752.93+22267.84+24612.6+6409.48-4661.44+33650.42-5005.42+12209.6+29052.9+23788+72498.64+25600.88+31133.71-5316.36+16640</f>
        <v>495481.71</v>
      </c>
      <c r="T8" s="8">
        <f>7775.6+24847.96+8886.4+2881.22+8886.4+5554+8886.4+9285.9+7106.66-1899.01+4887.52</f>
        <v>87099.05</v>
      </c>
      <c r="U8" s="8"/>
      <c r="V8" s="8">
        <f t="shared" ref="V8:V49" si="3">U8+T8+S8+R8</f>
        <v>642653.96</v>
      </c>
      <c r="W8" s="8">
        <f t="shared" ref="W8:W16" si="4">R8/L8</f>
        <v>30036.6</v>
      </c>
      <c r="X8" s="8">
        <f t="shared" si="1"/>
        <v>26077.984736842107</v>
      </c>
      <c r="Y8" s="1">
        <f>T8/O8</f>
        <v>8709.9050000000007</v>
      </c>
    </row>
    <row r="9" spans="1:25" hidden="1" x14ac:dyDescent="0.25">
      <c r="A9" s="9"/>
      <c r="B9" s="10" t="s">
        <v>22</v>
      </c>
      <c r="C9" s="7"/>
      <c r="D9" s="7"/>
      <c r="E9" s="7"/>
      <c r="F9" s="7"/>
      <c r="G9" s="8"/>
      <c r="H9" s="8"/>
      <c r="I9" s="8"/>
      <c r="J9" s="8"/>
      <c r="K9" s="8"/>
      <c r="L9" s="8">
        <v>2</v>
      </c>
      <c r="M9" s="8">
        <v>19</v>
      </c>
      <c r="N9" s="8"/>
      <c r="O9" s="8">
        <v>10</v>
      </c>
      <c r="P9" s="11"/>
      <c r="Q9" s="8">
        <f t="shared" si="2"/>
        <v>31</v>
      </c>
      <c r="R9" s="8">
        <f>34166.2+25907</f>
        <v>60073.2</v>
      </c>
      <c r="S9" s="8">
        <f>16529.6+10251.2+23757.36+22153.55+19165.35+22188+22943+22102.5+7320.8+23061.3+20294.84+21272.9+18362.68+12754.6+21581.35+25951.6+11215+71180.47-408.95+16640</f>
        <v>408317.14999999985</v>
      </c>
      <c r="T9" s="8">
        <f>6998.04+3998.88+8886.4+8886.4+8886.4+7868.72-759.6+7220.2+8886.4+10400.2+9513.31-2278.8</f>
        <v>78506.55</v>
      </c>
      <c r="U9" s="8"/>
      <c r="V9" s="8">
        <f t="shared" si="3"/>
        <v>546896.89999999979</v>
      </c>
      <c r="W9" s="8">
        <f t="shared" si="4"/>
        <v>30036.6</v>
      </c>
      <c r="X9" s="8">
        <f t="shared" si="1"/>
        <v>21490.376315789465</v>
      </c>
      <c r="Y9" s="1">
        <f t="shared" ref="Y9:Y16" si="5">T9/O9</f>
        <v>7850.6550000000007</v>
      </c>
    </row>
    <row r="10" spans="1:25" hidden="1" x14ac:dyDescent="0.25">
      <c r="A10" s="9"/>
      <c r="B10" s="10" t="s">
        <v>23</v>
      </c>
      <c r="C10" s="7"/>
      <c r="D10" s="7"/>
      <c r="E10" s="7"/>
      <c r="F10" s="7"/>
      <c r="G10" s="8"/>
      <c r="H10" s="8"/>
      <c r="I10" s="8"/>
      <c r="J10" s="8"/>
      <c r="K10" s="8"/>
      <c r="L10" s="8">
        <v>2</v>
      </c>
      <c r="M10" s="8">
        <v>18</v>
      </c>
      <c r="N10" s="8"/>
      <c r="O10" s="8">
        <v>10</v>
      </c>
      <c r="P10" s="11"/>
      <c r="Q10" s="8">
        <f t="shared" si="2"/>
        <v>30</v>
      </c>
      <c r="R10" s="8">
        <f>25537.72+25907</f>
        <v>51444.72</v>
      </c>
      <c r="S10" s="8">
        <f>16147.6+16631.3+62175.7+19168+17835.35+18638+19592+16147.6+14611+50180.3+18055.84+14255.4+34715.52-20976.48+15299.6+13179.6+17835.35+31031.4+16640</f>
        <v>391163.08000000007</v>
      </c>
      <c r="T10" s="8">
        <f>18678.84+2827.45+19690+8886.4+8886.4+7220.2+8886.4+9285.9+2625.43+8886.4</f>
        <v>95873.419999999984</v>
      </c>
      <c r="U10" s="8"/>
      <c r="V10" s="8">
        <f t="shared" si="3"/>
        <v>538481.22000000009</v>
      </c>
      <c r="W10" s="8">
        <f t="shared" si="4"/>
        <v>25722.36</v>
      </c>
      <c r="X10" s="8">
        <f>S10/(M10+N10)</f>
        <v>21731.282222222228</v>
      </c>
      <c r="Y10" s="1">
        <f t="shared" si="5"/>
        <v>9587.3419999999987</v>
      </c>
    </row>
    <row r="11" spans="1:25" hidden="1" x14ac:dyDescent="0.25">
      <c r="A11" s="9"/>
      <c r="B11" s="10" t="s">
        <v>24</v>
      </c>
      <c r="C11" s="7"/>
      <c r="D11" s="7"/>
      <c r="E11" s="7"/>
      <c r="F11" s="7"/>
      <c r="G11" s="8"/>
      <c r="H11" s="8"/>
      <c r="I11" s="8"/>
      <c r="J11" s="8"/>
      <c r="K11" s="8"/>
      <c r="L11" s="8">
        <v>3</v>
      </c>
      <c r="M11" s="8">
        <v>19</v>
      </c>
      <c r="N11" s="8"/>
      <c r="O11" s="8">
        <v>10</v>
      </c>
      <c r="P11" s="11"/>
      <c r="Q11" s="8">
        <f t="shared" si="2"/>
        <v>32</v>
      </c>
      <c r="R11" s="8">
        <f>34166.2+7005.79+41343.78</f>
        <v>82515.76999999999</v>
      </c>
      <c r="S11" s="8">
        <f>16720.6+17691.2+18616+17986.35+19360+60327.72+17785.88+19747.45+4116.21+15395+19266.84+16999.6+19360+17278.6+43066.1+18265.35+18151+17012.9+16640</f>
        <v>393786.79999999993</v>
      </c>
      <c r="T11" s="8">
        <f>3358.3+8886.4+1870.8+8886.4+8886.4+7220.22+8886.4+9285.9+8886.4+8886.4</f>
        <v>75053.62</v>
      </c>
      <c r="U11" s="8"/>
      <c r="V11" s="8">
        <f t="shared" si="3"/>
        <v>551356.18999999994</v>
      </c>
      <c r="W11" s="8">
        <f t="shared" si="4"/>
        <v>27505.256666666664</v>
      </c>
      <c r="X11" s="8">
        <f t="shared" si="1"/>
        <v>20725.621052631574</v>
      </c>
      <c r="Y11" s="1">
        <f t="shared" si="5"/>
        <v>7505.3619999999992</v>
      </c>
    </row>
    <row r="12" spans="1:25" hidden="1" x14ac:dyDescent="0.25">
      <c r="A12" s="9"/>
      <c r="B12" s="10" t="s">
        <v>25</v>
      </c>
      <c r="C12" s="7"/>
      <c r="D12" s="7"/>
      <c r="E12" s="12"/>
      <c r="F12" s="12"/>
      <c r="G12" s="8"/>
      <c r="H12" s="8"/>
      <c r="I12" s="8"/>
      <c r="J12" s="8"/>
      <c r="K12" s="8"/>
      <c r="L12" s="8">
        <v>2</v>
      </c>
      <c r="M12" s="8">
        <v>22</v>
      </c>
      <c r="N12" s="8"/>
      <c r="O12" s="8">
        <v>10</v>
      </c>
      <c r="P12" s="11"/>
      <c r="Q12" s="8">
        <f t="shared" si="2"/>
        <v>34</v>
      </c>
      <c r="R12" s="8">
        <f>82772.28+14790.4</f>
        <v>97562.68</v>
      </c>
      <c r="S12" s="8">
        <f>63186.85+27566.2+18883.29+29033+67094.56+65343.16+9538+24203.6+21287.76+9538+3741.64+17010+27607.84+27501.6+29639+63079.91+8961.68+71206.05+32321.24+29841+86240.1-71566.42+16640</f>
        <v>677898.05999999994</v>
      </c>
      <c r="T12" s="8">
        <f>3273.93+8886.4+19461.8+19433.81+7220.2+19277.74+15683.84+5554+8886.4+8418.69</f>
        <v>116096.81</v>
      </c>
      <c r="U12" s="8"/>
      <c r="V12" s="8">
        <f t="shared" si="3"/>
        <v>891557.54999999981</v>
      </c>
      <c r="W12" s="8">
        <f t="shared" si="4"/>
        <v>48781.34</v>
      </c>
      <c r="X12" s="8">
        <f t="shared" si="1"/>
        <v>30813.54818181818</v>
      </c>
      <c r="Y12" s="1">
        <f t="shared" si="5"/>
        <v>11609.681</v>
      </c>
    </row>
    <row r="13" spans="1:25" hidden="1" x14ac:dyDescent="0.25">
      <c r="A13" s="9"/>
      <c r="B13" s="10" t="s">
        <v>26</v>
      </c>
      <c r="C13" s="7"/>
      <c r="D13" s="7"/>
      <c r="E13" s="12"/>
      <c r="F13" s="12"/>
      <c r="G13" s="8"/>
      <c r="H13" s="8"/>
      <c r="I13" s="8"/>
      <c r="J13" s="8"/>
      <c r="K13" s="8"/>
      <c r="L13" s="8">
        <v>2</v>
      </c>
      <c r="M13" s="8">
        <v>14</v>
      </c>
      <c r="N13" s="8"/>
      <c r="O13" s="8">
        <v>10</v>
      </c>
      <c r="P13" s="11"/>
      <c r="Q13" s="8">
        <f t="shared" si="2"/>
        <v>26</v>
      </c>
      <c r="R13" s="8">
        <f>19881.48+16406.5</f>
        <v>36287.979999999996</v>
      </c>
      <c r="S13" s="8">
        <f>17070.08+11613.4+66733.17+4787.54+3109.56+18787.6+25053.6+21466.4+25488.7+33154.48+18787.6+67673.59+20644+25472</f>
        <v>359841.72</v>
      </c>
      <c r="T13" s="8">
        <f>8331+14644.2+8886.4+10108.51+19704.59+7091.77+4349.71+10118.4+7220.2+29286.76</f>
        <v>119741.54</v>
      </c>
      <c r="U13" s="8"/>
      <c r="V13" s="8">
        <f t="shared" si="3"/>
        <v>515871.23999999993</v>
      </c>
      <c r="W13" s="8">
        <f t="shared" si="4"/>
        <v>18143.989999999998</v>
      </c>
      <c r="X13" s="8">
        <f t="shared" si="1"/>
        <v>25702.98</v>
      </c>
      <c r="Y13" s="1">
        <f t="shared" si="5"/>
        <v>11974.153999999999</v>
      </c>
    </row>
    <row r="14" spans="1:25" hidden="1" x14ac:dyDescent="0.25">
      <c r="A14" s="9"/>
      <c r="B14" s="10" t="s">
        <v>27</v>
      </c>
      <c r="C14" s="7"/>
      <c r="D14" s="7"/>
      <c r="E14" s="12"/>
      <c r="F14" s="12"/>
      <c r="G14" s="8"/>
      <c r="H14" s="8"/>
      <c r="I14" s="8"/>
      <c r="J14" s="8"/>
      <c r="K14" s="8"/>
      <c r="L14" s="8">
        <v>2</v>
      </c>
      <c r="M14" s="8">
        <v>19</v>
      </c>
      <c r="N14" s="8"/>
      <c r="O14" s="8">
        <v>12</v>
      </c>
      <c r="P14" s="11"/>
      <c r="Q14" s="8">
        <f t="shared" si="2"/>
        <v>33</v>
      </c>
      <c r="R14" s="8">
        <f>14091.64+14790.4</f>
        <v>28882.04</v>
      </c>
      <c r="S14" s="8">
        <f>4495.5+16779.2+6769.61+13268.1+5100+7658.57+20386+17527.6+17084+19527.3+31514.49+18955.6+16051.68+10707+22687.95-1946.93+4194.8+18886.1+22864.1+3287.04</f>
        <v>275797.71000000002</v>
      </c>
      <c r="T14" s="8">
        <f>11914.59+14943.2+7254.04-1095.58+2538.9+8886.4+5077.93+7616.91+8886.4+7220.2+3389.29+4354.29</f>
        <v>80986.569999999978</v>
      </c>
      <c r="U14" s="8"/>
      <c r="V14" s="8">
        <f t="shared" si="3"/>
        <v>385666.32</v>
      </c>
      <c r="W14" s="8">
        <f t="shared" si="4"/>
        <v>14441.02</v>
      </c>
      <c r="X14" s="8">
        <f t="shared" si="1"/>
        <v>14515.668947368422</v>
      </c>
      <c r="Y14" s="1">
        <f t="shared" si="5"/>
        <v>6748.8808333333318</v>
      </c>
    </row>
    <row r="15" spans="1:25" hidden="1" x14ac:dyDescent="0.25">
      <c r="A15" s="9"/>
      <c r="B15" s="10" t="s">
        <v>28</v>
      </c>
      <c r="C15" s="7"/>
      <c r="D15" s="7"/>
      <c r="E15" s="12"/>
      <c r="F15" s="12"/>
      <c r="G15" s="8">
        <v>2</v>
      </c>
      <c r="H15" s="8">
        <v>15.5</v>
      </c>
      <c r="I15" s="8">
        <v>10</v>
      </c>
      <c r="J15" s="8"/>
      <c r="K15" s="8">
        <f>G15+H15+I15</f>
        <v>27.5</v>
      </c>
      <c r="L15" s="8">
        <v>2</v>
      </c>
      <c r="M15" s="8">
        <v>18</v>
      </c>
      <c r="N15" s="8"/>
      <c r="O15" s="8">
        <v>11</v>
      </c>
      <c r="P15" s="11"/>
      <c r="Q15" s="8">
        <f t="shared" si="2"/>
        <v>31</v>
      </c>
      <c r="R15" s="8">
        <f>26358.4+14884.8</f>
        <v>41243.199999999997</v>
      </c>
      <c r="S15" s="8">
        <f>13526.79-1553.59+20207.05+14593.08+34281.31-15770.17+6181.44+21610+20182+19232.37+23445.05+20649.3+74640.48+56133.11+9702.18+25155.49-3281.31+20803.35+19909.66+22222+1644.09</f>
        <v>403513.67999999993</v>
      </c>
      <c r="T15" s="8">
        <f>8331+8886.4+8886.4+8886.4+3500+7367.97+8886.4+8886.4+7220.2+8886.4+4170.75-486.46</f>
        <v>83421.86</v>
      </c>
      <c r="U15" s="8"/>
      <c r="V15" s="8">
        <f t="shared" si="3"/>
        <v>528178.73999999987</v>
      </c>
      <c r="W15" s="8">
        <f t="shared" si="4"/>
        <v>20621.599999999999</v>
      </c>
      <c r="X15" s="8">
        <f t="shared" si="1"/>
        <v>22417.426666666663</v>
      </c>
      <c r="Y15" s="1">
        <f t="shared" si="5"/>
        <v>7583.8054545454543</v>
      </c>
    </row>
    <row r="16" spans="1:25" hidden="1" x14ac:dyDescent="0.25">
      <c r="A16" s="9"/>
      <c r="B16" s="10" t="s">
        <v>29</v>
      </c>
      <c r="C16" s="7"/>
      <c r="D16" s="12"/>
      <c r="E16" s="12">
        <v>207</v>
      </c>
      <c r="F16" s="12">
        <v>7</v>
      </c>
      <c r="G16" s="8"/>
      <c r="H16" s="8"/>
      <c r="I16" s="8"/>
      <c r="J16" s="8"/>
      <c r="K16" s="8"/>
      <c r="L16" s="8">
        <v>2</v>
      </c>
      <c r="M16" s="8">
        <v>18</v>
      </c>
      <c r="N16" s="8"/>
      <c r="O16" s="8">
        <v>10</v>
      </c>
      <c r="P16" s="11"/>
      <c r="Q16" s="8">
        <f t="shared" si="2"/>
        <v>30</v>
      </c>
      <c r="R16" s="8">
        <f>28218.88+14884.8</f>
        <v>43103.68</v>
      </c>
      <c r="S16" s="8">
        <f>30115.24+50336.6+3376.36+18423.89-3504.48+11739.2+24215.2+17965+17055+17419.56+7213.21+16767.8+8100+9927.6+22936.69+16926.35+17033.6+18940+10614.56</f>
        <v>315601.37999999995</v>
      </c>
      <c r="T16" s="8">
        <f>8500+8500+8886.4+8886.4+7727.3+1837.1+8886.4+10552.6+8886.4+9285.9</f>
        <v>81948.5</v>
      </c>
      <c r="U16" s="8"/>
      <c r="V16" s="8">
        <f t="shared" si="3"/>
        <v>440653.55999999994</v>
      </c>
      <c r="W16" s="8">
        <f t="shared" si="4"/>
        <v>21551.84</v>
      </c>
      <c r="X16" s="8">
        <f t="shared" si="1"/>
        <v>17533.409999999996</v>
      </c>
      <c r="Y16" s="1">
        <f t="shared" si="5"/>
        <v>8194.85</v>
      </c>
    </row>
    <row r="17" spans="1:25" ht="22.5" customHeight="1" x14ac:dyDescent="0.25">
      <c r="A17" s="5">
        <v>2</v>
      </c>
      <c r="B17" s="6" t="s">
        <v>30</v>
      </c>
      <c r="C17" s="7">
        <v>169</v>
      </c>
      <c r="D17" s="13">
        <v>7</v>
      </c>
      <c r="E17" s="13">
        <v>169</v>
      </c>
      <c r="F17" s="13">
        <v>7</v>
      </c>
      <c r="G17" s="11">
        <v>2</v>
      </c>
      <c r="H17" s="11">
        <v>14</v>
      </c>
      <c r="I17" s="11">
        <v>9</v>
      </c>
      <c r="J17" s="11"/>
      <c r="K17" s="11">
        <v>25</v>
      </c>
      <c r="L17" s="8">
        <f>(L18+L19+L20+L21+L22+L23+L24+L25+L26+L27)/10</f>
        <v>2.1</v>
      </c>
      <c r="M17" s="8">
        <f>(M18+M19+M20+M21+M22+M23+M24+M25+M26+M27)/10</f>
        <v>15.7</v>
      </c>
      <c r="N17" s="8"/>
      <c r="O17" s="8">
        <f>(O18+O19+O20+O21+O22+O23+O24+O25+O26+O27)/10</f>
        <v>8.1</v>
      </c>
      <c r="P17" s="8"/>
      <c r="Q17" s="8">
        <f>(Q18+Q19+Q20+Q21+Q22+Q23+Q24+Q25+Q26+Q27)/10</f>
        <v>25.9</v>
      </c>
      <c r="R17" s="8">
        <f>(R18+R19+R20+R21+R22+R23+R24+R25+R26+R27)/1000</f>
        <v>527.50761999999997</v>
      </c>
      <c r="S17" s="8">
        <f>(S18+S19+S20+S21+S22+S23+S24+S25+S26+S27)/1000</f>
        <v>3759.6454100000005</v>
      </c>
      <c r="T17" s="8">
        <f>(T18+T19+T20+T21+T22+T23+T24+T25+T26+T27)/1000</f>
        <v>819.68888000000015</v>
      </c>
      <c r="U17" s="8"/>
      <c r="V17" s="8">
        <f>R17+S17+T17</f>
        <v>5106.841910000001</v>
      </c>
      <c r="W17" s="8">
        <f>R17/G17/10</f>
        <v>26.375380999999997</v>
      </c>
      <c r="X17" s="8">
        <f>S17/H17/10</f>
        <v>26.854610071428574</v>
      </c>
      <c r="Y17" s="8">
        <f>T17/I17/10</f>
        <v>9.1076542222222248</v>
      </c>
    </row>
    <row r="18" spans="1:25" hidden="1" x14ac:dyDescent="0.25">
      <c r="A18" s="9"/>
      <c r="B18" s="10" t="s">
        <v>20</v>
      </c>
      <c r="C18" s="7">
        <v>169</v>
      </c>
      <c r="D18" s="13">
        <v>7</v>
      </c>
      <c r="E18" s="13"/>
      <c r="F18" s="13"/>
      <c r="G18" s="11"/>
      <c r="H18" s="11"/>
      <c r="I18" s="11"/>
      <c r="J18" s="11"/>
      <c r="K18" s="8"/>
      <c r="L18" s="11">
        <v>2</v>
      </c>
      <c r="M18" s="11">
        <v>15</v>
      </c>
      <c r="N18" s="11"/>
      <c r="O18" s="11">
        <v>7</v>
      </c>
      <c r="P18" s="11"/>
      <c r="Q18" s="11">
        <f t="shared" si="2"/>
        <v>24</v>
      </c>
      <c r="R18" s="8">
        <f>30280.64+23226.16-8538</f>
        <v>44968.800000000003</v>
      </c>
      <c r="S18" s="8">
        <f>31773.6+12849.55-10673+27911.45+27022.42-1759+21655.36+25033.72+26866.4+15862.8+25389.6+6914.17+9006.4+34049.01+22081.01+27773.6+8157.54</f>
        <v>309914.62999999995</v>
      </c>
      <c r="T18" s="8">
        <f>8886.4+7021.44-1794+8886.4+8101.91-1423+8886.4+8886.4+8886.4</f>
        <v>56338.35</v>
      </c>
      <c r="U18" s="8"/>
      <c r="V18" s="8">
        <f t="shared" si="3"/>
        <v>411221.77999999991</v>
      </c>
      <c r="W18" s="8">
        <f>R18/L18</f>
        <v>22484.400000000001</v>
      </c>
      <c r="X18" s="8">
        <f t="shared" ref="X18:X27" si="6">S18/(M18+N18)</f>
        <v>20660.975333333328</v>
      </c>
      <c r="Y18" s="1">
        <f>T18/O18</f>
        <v>8048.3357142857139</v>
      </c>
    </row>
    <row r="19" spans="1:25" hidden="1" x14ac:dyDescent="0.25">
      <c r="A19" s="9"/>
      <c r="B19" s="10" t="s">
        <v>21</v>
      </c>
      <c r="C19" s="7"/>
      <c r="D19" s="13"/>
      <c r="E19" s="13"/>
      <c r="F19" s="13"/>
      <c r="G19" s="11"/>
      <c r="H19" s="11"/>
      <c r="I19" s="11"/>
      <c r="J19" s="11"/>
      <c r="K19" s="11"/>
      <c r="L19" s="11">
        <v>2</v>
      </c>
      <c r="M19" s="11">
        <v>17</v>
      </c>
      <c r="N19" s="11"/>
      <c r="O19" s="11">
        <v>8</v>
      </c>
      <c r="P19" s="11"/>
      <c r="Q19" s="11">
        <f t="shared" si="2"/>
        <v>27</v>
      </c>
      <c r="R19" s="8">
        <f>31338.09+24972.59</f>
        <v>56310.68</v>
      </c>
      <c r="S19" s="8">
        <f>37756.4+39252.38+34337.1+21243.2+31346.37+36776.15+18920.77+30203.15+24372.09+29534.55+14914.17+15509.48+21576.25+16323.5+31275.95+19468.39-1709.14+16724.8</f>
        <v>437825.55999999994</v>
      </c>
      <c r="T19" s="8">
        <f>2221.61+8886.4+8886.4+8886.4+7922.61-3871.46+8886.4+18610.11+8886.4</f>
        <v>69314.87</v>
      </c>
      <c r="U19" s="8"/>
      <c r="V19" s="8">
        <f t="shared" si="3"/>
        <v>563451.11</v>
      </c>
      <c r="W19" s="8">
        <f t="shared" ref="W19:W27" si="7">R19/L19</f>
        <v>28155.34</v>
      </c>
      <c r="X19" s="8">
        <f t="shared" si="6"/>
        <v>25754.44470588235</v>
      </c>
      <c r="Y19" s="1">
        <f>T19/O19</f>
        <v>8664.3587499999994</v>
      </c>
    </row>
    <row r="20" spans="1:25" hidden="1" x14ac:dyDescent="0.25">
      <c r="A20" s="9"/>
      <c r="B20" s="10" t="s">
        <v>22</v>
      </c>
      <c r="C20" s="7"/>
      <c r="D20" s="13"/>
      <c r="E20" s="13"/>
      <c r="F20" s="13"/>
      <c r="G20" s="11"/>
      <c r="H20" s="11"/>
      <c r="I20" s="11"/>
      <c r="J20" s="11"/>
      <c r="K20" s="11"/>
      <c r="L20" s="11">
        <v>3</v>
      </c>
      <c r="M20" s="11">
        <v>15</v>
      </c>
      <c r="N20" s="11"/>
      <c r="O20" s="11">
        <v>7</v>
      </c>
      <c r="P20" s="11"/>
      <c r="Q20" s="11">
        <f t="shared" si="2"/>
        <v>25</v>
      </c>
      <c r="R20" s="8">
        <f>30809.04+11772.9+3320+36243.46</f>
        <v>82145.399999999994</v>
      </c>
      <c r="S20" s="8">
        <f>32516+20544+28535.44+16636.8+19379.36+25344+19803.63+18890.4+16226.8+18813.6+11238.15+19444.81+21102.01+14505.01+46693.36</f>
        <v>329673.37</v>
      </c>
      <c r="T20" s="8">
        <f>8886.4+8886.4+8886.4+8886.4+8886.4+8886.4+8886.43</f>
        <v>62204.83</v>
      </c>
      <c r="U20" s="8"/>
      <c r="V20" s="8">
        <f t="shared" si="3"/>
        <v>474023.6</v>
      </c>
      <c r="W20" s="8">
        <f t="shared" si="7"/>
        <v>27381.8</v>
      </c>
      <c r="X20" s="8">
        <f t="shared" si="6"/>
        <v>21978.224666666665</v>
      </c>
      <c r="Y20" s="1">
        <f t="shared" ref="Y20:Y27" si="8">T20/O20</f>
        <v>8886.4042857142867</v>
      </c>
    </row>
    <row r="21" spans="1:25" hidden="1" x14ac:dyDescent="0.25">
      <c r="A21" s="9"/>
      <c r="B21" s="10" t="s">
        <v>23</v>
      </c>
      <c r="C21" s="7"/>
      <c r="D21" s="13"/>
      <c r="E21" s="13"/>
      <c r="F21" s="13"/>
      <c r="G21" s="11"/>
      <c r="H21" s="11"/>
      <c r="I21" s="11"/>
      <c r="J21" s="11"/>
      <c r="K21" s="11"/>
      <c r="L21" s="11">
        <v>2</v>
      </c>
      <c r="M21" s="11">
        <v>16</v>
      </c>
      <c r="N21" s="11"/>
      <c r="O21" s="11">
        <v>8</v>
      </c>
      <c r="P21" s="11"/>
      <c r="Q21" s="11">
        <f t="shared" si="2"/>
        <v>26</v>
      </c>
      <c r="R21" s="8">
        <f>29625.41+23225.6</f>
        <v>52851.009999999995</v>
      </c>
      <c r="S21" s="8">
        <f>27462.9+20179.89+42632.48+13367.25+17405.36+22089.17+35093.75+21957.79+17395.6+40512.39+10914.15+6733.33+22781.01+12531.01+12618.09+8971.6</f>
        <v>332645.77000000008</v>
      </c>
      <c r="T21" s="8">
        <f>8886.4+8886.4+8886.4+8886.4+15361.9+8886.4+7270.61+8886.4</f>
        <v>75950.909999999989</v>
      </c>
      <c r="U21" s="8"/>
      <c r="V21" s="8">
        <f t="shared" si="3"/>
        <v>461447.69000000006</v>
      </c>
      <c r="W21" s="8">
        <f t="shared" si="7"/>
        <v>26425.504999999997</v>
      </c>
      <c r="X21" s="8">
        <f t="shared" si="6"/>
        <v>20790.360625000005</v>
      </c>
      <c r="Y21" s="1">
        <f t="shared" si="8"/>
        <v>9493.8637499999986</v>
      </c>
    </row>
    <row r="22" spans="1:25" hidden="1" x14ac:dyDescent="0.25">
      <c r="A22" s="9"/>
      <c r="B22" s="10" t="s">
        <v>24</v>
      </c>
      <c r="C22" s="7"/>
      <c r="D22" s="13"/>
      <c r="E22" s="13"/>
      <c r="F22" s="13"/>
      <c r="G22" s="11"/>
      <c r="H22" s="11"/>
      <c r="I22" s="11"/>
      <c r="J22" s="11"/>
      <c r="K22" s="11"/>
      <c r="L22" s="11">
        <v>2</v>
      </c>
      <c r="M22" s="11">
        <v>16</v>
      </c>
      <c r="N22" s="11"/>
      <c r="O22" s="11">
        <v>8</v>
      </c>
      <c r="P22" s="11"/>
      <c r="Q22" s="11">
        <f t="shared" si="2"/>
        <v>26</v>
      </c>
      <c r="R22" s="8">
        <f>38846.76+23226.16</f>
        <v>62072.92</v>
      </c>
      <c r="S22" s="8">
        <f>27292.5+20920+7057.84+13712.8+66086.86+19920+27825.77+21353.17+8313.34+15914.15+9158.01+21560.78+39226.51+28070.29+6045.52+7096.69</f>
        <v>339554.23</v>
      </c>
      <c r="T22" s="8">
        <f>9938.74+11108+11108+11108+7015.58+11108+11108+11108</f>
        <v>83602.320000000007</v>
      </c>
      <c r="U22" s="8"/>
      <c r="V22" s="8">
        <f t="shared" si="3"/>
        <v>485229.47</v>
      </c>
      <c r="W22" s="8">
        <f t="shared" si="7"/>
        <v>31036.46</v>
      </c>
      <c r="X22" s="8">
        <f t="shared" si="6"/>
        <v>21222.139374999999</v>
      </c>
      <c r="Y22" s="1">
        <f t="shared" si="8"/>
        <v>10450.290000000001</v>
      </c>
    </row>
    <row r="23" spans="1:25" hidden="1" x14ac:dyDescent="0.25">
      <c r="A23" s="9"/>
      <c r="B23" s="10" t="s">
        <v>25</v>
      </c>
      <c r="C23" s="7"/>
      <c r="D23" s="13"/>
      <c r="E23" s="14"/>
      <c r="F23" s="14"/>
      <c r="G23" s="11"/>
      <c r="H23" s="11"/>
      <c r="I23" s="11"/>
      <c r="J23" s="11"/>
      <c r="K23" s="11"/>
      <c r="L23" s="11">
        <v>2</v>
      </c>
      <c r="M23" s="11">
        <v>17</v>
      </c>
      <c r="N23" s="11"/>
      <c r="O23" s="11">
        <v>8</v>
      </c>
      <c r="P23" s="11"/>
      <c r="Q23" s="11">
        <f t="shared" si="2"/>
        <v>27</v>
      </c>
      <c r="R23" s="8">
        <f>15490.23+21023.16</f>
        <v>36513.39</v>
      </c>
      <c r="S23" s="8">
        <f>107928.67+37569.1+27758.33+50443.31+20832.51+27100+17581+30305.84+49371.03+19252.29+33065.03+43017.01+20908.64+10128.84+38701.78+2885.76+8344</f>
        <v>545193.14</v>
      </c>
      <c r="T23" s="8">
        <f>8886.4+8886.4+21936.5+8886.4+8886.4+8886.4+8886.4+15401.06</f>
        <v>90655.959999999992</v>
      </c>
      <c r="U23" s="8"/>
      <c r="V23" s="8">
        <f t="shared" si="3"/>
        <v>672362.49</v>
      </c>
      <c r="W23" s="8">
        <f t="shared" si="7"/>
        <v>18256.695</v>
      </c>
      <c r="X23" s="8">
        <f t="shared" si="6"/>
        <v>32070.184705882355</v>
      </c>
      <c r="Y23" s="1">
        <f t="shared" si="8"/>
        <v>11331.994999999999</v>
      </c>
    </row>
    <row r="24" spans="1:25" hidden="1" x14ac:dyDescent="0.25">
      <c r="A24" s="9"/>
      <c r="B24" s="10" t="s">
        <v>26</v>
      </c>
      <c r="C24" s="7"/>
      <c r="D24" s="13"/>
      <c r="E24" s="14"/>
      <c r="F24" s="14"/>
      <c r="G24" s="11"/>
      <c r="H24" s="11"/>
      <c r="I24" s="11"/>
      <c r="J24" s="11"/>
      <c r="K24" s="11"/>
      <c r="L24" s="11">
        <v>2</v>
      </c>
      <c r="M24" s="11">
        <v>13</v>
      </c>
      <c r="N24" s="11"/>
      <c r="O24" s="11">
        <v>7</v>
      </c>
      <c r="P24" s="11"/>
      <c r="Q24" s="11">
        <f t="shared" si="2"/>
        <v>22</v>
      </c>
      <c r="R24" s="8">
        <f>71271.84+19701.36</f>
        <v>90973.2</v>
      </c>
      <c r="S24" s="8">
        <f>16000+41675.5+43089.34+76422.87+32433.51+76163.28+50187.63+10600+23381.01+66287.64+20152.38+4353.39+17966.4</f>
        <v>478712.95000000007</v>
      </c>
      <c r="T24" s="8">
        <f>13329.6+24850.95+13329.6+13329.6+13329.6+13329.6+11575.71</f>
        <v>103074.66</v>
      </c>
      <c r="U24" s="8"/>
      <c r="V24" s="8">
        <f t="shared" si="3"/>
        <v>672760.81</v>
      </c>
      <c r="W24" s="8">
        <f t="shared" si="7"/>
        <v>45486.6</v>
      </c>
      <c r="X24" s="8">
        <f t="shared" si="6"/>
        <v>36824.073076923079</v>
      </c>
      <c r="Y24" s="1">
        <f t="shared" si="8"/>
        <v>14724.951428571429</v>
      </c>
    </row>
    <row r="25" spans="1:25" hidden="1" x14ac:dyDescent="0.25">
      <c r="A25" s="9"/>
      <c r="B25" s="10" t="s">
        <v>27</v>
      </c>
      <c r="C25" s="7"/>
      <c r="D25" s="13"/>
      <c r="E25" s="14"/>
      <c r="F25" s="14"/>
      <c r="G25" s="11"/>
      <c r="H25" s="11"/>
      <c r="I25" s="11"/>
      <c r="J25" s="11"/>
      <c r="K25" s="11"/>
      <c r="L25" s="11">
        <v>2</v>
      </c>
      <c r="M25" s="11">
        <v>16</v>
      </c>
      <c r="N25" s="11"/>
      <c r="O25" s="11">
        <v>10</v>
      </c>
      <c r="P25" s="11"/>
      <c r="Q25" s="11">
        <f t="shared" si="2"/>
        <v>28</v>
      </c>
      <c r="R25" s="8">
        <f>12504.96+19701.36</f>
        <v>32206.32</v>
      </c>
      <c r="S25" s="8">
        <f>14007.76+38331.46-2063.37+24914.39+17694.01+7907.89+17912.23+14120+15256.21+20183.08+6258.01+23901.01+9301.87+23925.47+13027.08+14183+23045.48</f>
        <v>281905.57999999996</v>
      </c>
      <c r="T25" s="8">
        <f>8844.08+9775.04+2792.87+9775.04+9775.04+8868.57-3282.84+9775.04+22782.56+9775.04+8840</f>
        <v>97720.44</v>
      </c>
      <c r="U25" s="8"/>
      <c r="V25" s="8">
        <f t="shared" si="3"/>
        <v>411832.33999999997</v>
      </c>
      <c r="W25" s="8">
        <f t="shared" si="7"/>
        <v>16103.16</v>
      </c>
      <c r="X25" s="8">
        <f t="shared" si="6"/>
        <v>17619.098749999997</v>
      </c>
      <c r="Y25" s="1">
        <f t="shared" si="8"/>
        <v>9772.0439999999999</v>
      </c>
    </row>
    <row r="26" spans="1:25" hidden="1" x14ac:dyDescent="0.25">
      <c r="A26" s="9"/>
      <c r="B26" s="10" t="s">
        <v>28</v>
      </c>
      <c r="C26" s="7"/>
      <c r="D26" s="13"/>
      <c r="E26" s="12"/>
      <c r="F26" s="12"/>
      <c r="G26" s="8">
        <v>2</v>
      </c>
      <c r="H26" s="8">
        <v>14</v>
      </c>
      <c r="I26" s="8">
        <v>9</v>
      </c>
      <c r="J26" s="11"/>
      <c r="K26" s="8">
        <f>G26+H26+I26</f>
        <v>25</v>
      </c>
      <c r="L26" s="11">
        <v>2</v>
      </c>
      <c r="M26" s="11">
        <v>17</v>
      </c>
      <c r="N26" s="11"/>
      <c r="O26" s="11">
        <v>9</v>
      </c>
      <c r="P26" s="11"/>
      <c r="Q26" s="11">
        <f t="shared" si="2"/>
        <v>28</v>
      </c>
      <c r="R26" s="8">
        <f>10304.14+19960.56</f>
        <v>30264.7</v>
      </c>
      <c r="S26" s="8">
        <f>38483.16+96029.81+38796.39+23118.59+19062.16+5025+5607.81+8661.3+27038.86+19378.74+6285.6+23945.86+27542.4+16221.01+23501.72+18511.46+13146.9</f>
        <v>410356.76999999996</v>
      </c>
      <c r="T26" s="8">
        <f>10219.36+5109.9+10219.36+20430.92+9221.8+12287.31+10219.36+10219.36+8886.4</f>
        <v>96813.76999999999</v>
      </c>
      <c r="U26" s="8"/>
      <c r="V26" s="8">
        <f t="shared" si="3"/>
        <v>537435.23999999987</v>
      </c>
      <c r="W26" s="8">
        <f t="shared" si="7"/>
        <v>15132.35</v>
      </c>
      <c r="X26" s="8">
        <f t="shared" si="6"/>
        <v>24138.633529411763</v>
      </c>
      <c r="Y26" s="1">
        <f t="shared" si="8"/>
        <v>10757.085555555554</v>
      </c>
    </row>
    <row r="27" spans="1:25" hidden="1" x14ac:dyDescent="0.25">
      <c r="A27" s="9"/>
      <c r="B27" s="10" t="s">
        <v>29</v>
      </c>
      <c r="C27" s="7"/>
      <c r="D27" s="14"/>
      <c r="E27" s="12">
        <v>169</v>
      </c>
      <c r="F27" s="12">
        <v>7</v>
      </c>
      <c r="G27" s="8"/>
      <c r="H27" s="8"/>
      <c r="I27" s="8"/>
      <c r="J27" s="11"/>
      <c r="K27" s="11"/>
      <c r="L27" s="11">
        <v>2</v>
      </c>
      <c r="M27" s="11">
        <v>15</v>
      </c>
      <c r="N27" s="11"/>
      <c r="O27" s="11">
        <v>9</v>
      </c>
      <c r="P27" s="11"/>
      <c r="Q27" s="11">
        <f t="shared" si="2"/>
        <v>26</v>
      </c>
      <c r="R27" s="8">
        <f>19241.6+19959.6</f>
        <v>39201.199999999997</v>
      </c>
      <c r="S27" s="8">
        <f>32812+11520+22136.68+22740.8+17365.24+12661.12+23002.33+20477.23+14914.17+29154.81+24199.61+13061.01+26725.09+15824.1-1139.42+8408.64</f>
        <v>293863.41000000003</v>
      </c>
      <c r="T27" s="8">
        <f>14976.72+9775.04+8500.03+3400.01+9775.04+11753.08+5394.13+9775.04+10663.68</f>
        <v>84012.76999999999</v>
      </c>
      <c r="U27" s="8"/>
      <c r="V27" s="8">
        <f t="shared" si="3"/>
        <v>417077.38000000006</v>
      </c>
      <c r="W27" s="8">
        <f t="shared" si="7"/>
        <v>19600.599999999999</v>
      </c>
      <c r="X27" s="8">
        <f t="shared" si="6"/>
        <v>19590.894000000004</v>
      </c>
      <c r="Y27" s="1">
        <f t="shared" si="8"/>
        <v>9334.7522222222215</v>
      </c>
    </row>
    <row r="28" spans="1:25" ht="26.25" customHeight="1" x14ac:dyDescent="0.25">
      <c r="A28" s="5">
        <v>3</v>
      </c>
      <c r="B28" s="6" t="s">
        <v>31</v>
      </c>
      <c r="C28" s="7">
        <v>69</v>
      </c>
      <c r="D28" s="7">
        <v>3</v>
      </c>
      <c r="E28" s="7">
        <v>69</v>
      </c>
      <c r="F28" s="7">
        <v>4</v>
      </c>
      <c r="G28" s="8">
        <v>2</v>
      </c>
      <c r="H28" s="11">
        <v>8.25</v>
      </c>
      <c r="I28" s="8">
        <v>5</v>
      </c>
      <c r="J28" s="11"/>
      <c r="K28" s="11">
        <v>15.25</v>
      </c>
      <c r="L28" s="11">
        <f>(L29+L30+L31+L32+L33+L34+L35+L36+L37+L38)/10</f>
        <v>2</v>
      </c>
      <c r="M28" s="11">
        <f>(M29+M30+M31+M32+M33+M34+M35+M36+M37+M38)/10</f>
        <v>7.3</v>
      </c>
      <c r="N28" s="11"/>
      <c r="O28" s="11">
        <f>(O29+O30+O31+O32+O33+O34+O35+O36+O37+O38)/10</f>
        <v>6</v>
      </c>
      <c r="P28" s="11"/>
      <c r="Q28" s="11">
        <f>(Q29+Q30+Q31+Q32+Q33+Q34+Q35+Q36+Q37+Q38)/10</f>
        <v>15.3</v>
      </c>
      <c r="R28" s="8">
        <f>(R29+R30+R31+R32+R33+R34+R35+R36+R37+R38)/1000</f>
        <v>509.58017000000001</v>
      </c>
      <c r="S28" s="8">
        <f>(S29+S30+S31+S32+S33+S34+S35+S36+S37+S38)/1000</f>
        <v>2247.9417999999996</v>
      </c>
      <c r="T28" s="8">
        <f>(T29+T30+T31+T32+T33+T34+T35+T36+T37+T38)/1000</f>
        <v>584.98133999999993</v>
      </c>
      <c r="U28" s="8"/>
      <c r="V28" s="8">
        <f>R28+S28+T28</f>
        <v>3342.5033099999996</v>
      </c>
      <c r="W28" s="8">
        <f>R28/G28/10</f>
        <v>25.479008499999999</v>
      </c>
      <c r="X28" s="8">
        <f>S28/H28/10</f>
        <v>27.247779393939389</v>
      </c>
      <c r="Y28" s="8">
        <f>T28/I28/10</f>
        <v>11.699626799999999</v>
      </c>
    </row>
    <row r="29" spans="1:25" hidden="1" x14ac:dyDescent="0.25">
      <c r="A29" s="9"/>
      <c r="B29" s="10" t="s">
        <v>20</v>
      </c>
      <c r="C29" s="7">
        <v>69</v>
      </c>
      <c r="D29" s="7">
        <v>3</v>
      </c>
      <c r="E29" s="13"/>
      <c r="F29" s="13"/>
      <c r="G29" s="11"/>
      <c r="H29" s="11"/>
      <c r="I29" s="11"/>
      <c r="J29" s="11"/>
      <c r="K29" s="8"/>
      <c r="L29" s="11">
        <v>2</v>
      </c>
      <c r="M29" s="11">
        <v>6</v>
      </c>
      <c r="N29" s="11"/>
      <c r="O29" s="11">
        <v>4</v>
      </c>
      <c r="P29" s="11"/>
      <c r="Q29" s="11">
        <f t="shared" si="2"/>
        <v>12</v>
      </c>
      <c r="R29" s="8">
        <f>25402.88+16890.88</f>
        <v>42293.760000000002</v>
      </c>
      <c r="S29" s="8">
        <f>22336+23592+17202+23858+56566+24454</f>
        <v>168008</v>
      </c>
      <c r="T29" s="8">
        <f>11358.94+10370.35+21491.46+10370.35</f>
        <v>53591.1</v>
      </c>
      <c r="U29" s="8"/>
      <c r="V29" s="8">
        <f>U29+T29+S29+R29</f>
        <v>263892.86</v>
      </c>
      <c r="W29" s="8">
        <f>R29/L29</f>
        <v>21146.880000000001</v>
      </c>
      <c r="X29" s="8">
        <f t="shared" ref="X29:X38" si="9">S29/(M29+N29)</f>
        <v>28001.333333333332</v>
      </c>
      <c r="Y29" s="1">
        <f>T29/O29</f>
        <v>13397.775</v>
      </c>
    </row>
    <row r="30" spans="1:25" hidden="1" x14ac:dyDescent="0.25">
      <c r="A30" s="9"/>
      <c r="B30" s="10" t="s">
        <v>21</v>
      </c>
      <c r="C30" s="7"/>
      <c r="D30" s="13"/>
      <c r="E30" s="13"/>
      <c r="F30" s="13"/>
      <c r="G30" s="11"/>
      <c r="H30" s="11"/>
      <c r="I30" s="11"/>
      <c r="J30" s="11"/>
      <c r="K30" s="11"/>
      <c r="L30" s="11">
        <v>2</v>
      </c>
      <c r="M30" s="11">
        <v>7</v>
      </c>
      <c r="N30" s="11"/>
      <c r="O30" s="11">
        <v>6</v>
      </c>
      <c r="P30" s="11"/>
      <c r="Q30" s="11">
        <f t="shared" si="2"/>
        <v>15</v>
      </c>
      <c r="R30" s="8">
        <f>30138.88+16890.88</f>
        <v>47029.760000000002</v>
      </c>
      <c r="S30" s="8">
        <v>229969.59</v>
      </c>
      <c r="T30" s="8">
        <f>8519.21+18769.17+12185.94+6740.73+5679.37+12185.17</f>
        <v>64079.590000000004</v>
      </c>
      <c r="U30" s="8"/>
      <c r="V30" s="8">
        <f t="shared" si="3"/>
        <v>341078.94</v>
      </c>
      <c r="W30" s="8">
        <f t="shared" ref="W30:W38" si="10">R30/L30</f>
        <v>23514.880000000001</v>
      </c>
      <c r="X30" s="8">
        <f t="shared" si="9"/>
        <v>32852.798571428568</v>
      </c>
      <c r="Y30" s="1">
        <f>T30/O30</f>
        <v>10679.931666666667</v>
      </c>
    </row>
    <row r="31" spans="1:25" hidden="1" x14ac:dyDescent="0.25">
      <c r="A31" s="9"/>
      <c r="B31" s="10" t="s">
        <v>22</v>
      </c>
      <c r="C31" s="7"/>
      <c r="D31" s="13"/>
      <c r="E31" s="13"/>
      <c r="F31" s="13"/>
      <c r="G31" s="11"/>
      <c r="H31" s="11"/>
      <c r="I31" s="11"/>
      <c r="J31" s="11"/>
      <c r="K31" s="11"/>
      <c r="L31" s="11">
        <v>2</v>
      </c>
      <c r="M31" s="11">
        <v>7</v>
      </c>
      <c r="N31" s="11"/>
      <c r="O31" s="11">
        <v>5</v>
      </c>
      <c r="P31" s="11"/>
      <c r="Q31" s="11">
        <f t="shared" si="2"/>
        <v>14</v>
      </c>
      <c r="R31" s="8">
        <f>35970.88+20000</f>
        <v>55970.879999999997</v>
      </c>
      <c r="S31" s="8">
        <f>59594.48+18957.08+19895.9+20855.76+20818.21+54772+21593.08</f>
        <v>216486.51</v>
      </c>
      <c r="T31" s="8">
        <f>11358.94+10371+10370.35+10613.69+10370.35</f>
        <v>53084.33</v>
      </c>
      <c r="U31" s="8"/>
      <c r="V31" s="8">
        <f t="shared" si="3"/>
        <v>325541.72000000003</v>
      </c>
      <c r="W31" s="8">
        <f t="shared" si="10"/>
        <v>27985.439999999999</v>
      </c>
      <c r="X31" s="8">
        <f t="shared" si="9"/>
        <v>30926.644285714287</v>
      </c>
      <c r="Y31" s="1">
        <f t="shared" ref="Y31:Y38" si="11">T31/O31</f>
        <v>10616.866</v>
      </c>
    </row>
    <row r="32" spans="1:25" hidden="1" x14ac:dyDescent="0.25">
      <c r="A32" s="9"/>
      <c r="B32" s="10" t="s">
        <v>23</v>
      </c>
      <c r="C32" s="7"/>
      <c r="D32" s="13"/>
      <c r="E32" s="13"/>
      <c r="F32" s="13"/>
      <c r="G32" s="11"/>
      <c r="H32" s="11"/>
      <c r="I32" s="11"/>
      <c r="J32" s="11"/>
      <c r="K32" s="11"/>
      <c r="L32" s="11">
        <v>2</v>
      </c>
      <c r="M32" s="11">
        <v>8</v>
      </c>
      <c r="N32" s="11"/>
      <c r="O32" s="11">
        <v>5</v>
      </c>
      <c r="P32" s="11"/>
      <c r="Q32" s="11">
        <f t="shared" si="2"/>
        <v>15</v>
      </c>
      <c r="R32" s="8">
        <f>33054.88+20000</f>
        <v>53054.879999999997</v>
      </c>
      <c r="S32" s="8">
        <f>4929.31+19406.87+20089.49+20956.04+20579.43+5019.89+35905.5+33175.64</f>
        <v>160062.16999999998</v>
      </c>
      <c r="T32" s="8">
        <f>11358.94+10371.01+24339.79+9877.15+10370.35</f>
        <v>66317.240000000005</v>
      </c>
      <c r="U32" s="8"/>
      <c r="V32" s="8">
        <f t="shared" si="3"/>
        <v>279434.28999999998</v>
      </c>
      <c r="W32" s="8">
        <f t="shared" si="10"/>
        <v>26527.439999999999</v>
      </c>
      <c r="X32" s="8">
        <f t="shared" si="9"/>
        <v>20007.771249999998</v>
      </c>
      <c r="Y32" s="1">
        <f t="shared" si="11"/>
        <v>13263.448</v>
      </c>
    </row>
    <row r="33" spans="1:25" hidden="1" x14ac:dyDescent="0.25">
      <c r="A33" s="9"/>
      <c r="B33" s="10" t="s">
        <v>24</v>
      </c>
      <c r="C33" s="7"/>
      <c r="D33" s="13"/>
      <c r="E33" s="13"/>
      <c r="F33" s="13"/>
      <c r="G33" s="11"/>
      <c r="H33" s="11"/>
      <c r="I33" s="11"/>
      <c r="J33" s="11"/>
      <c r="K33" s="11"/>
      <c r="L33" s="11">
        <v>2</v>
      </c>
      <c r="M33" s="11">
        <v>7</v>
      </c>
      <c r="N33" s="11"/>
      <c r="O33" s="11">
        <v>6</v>
      </c>
      <c r="P33" s="11"/>
      <c r="Q33" s="11">
        <f t="shared" si="2"/>
        <v>15</v>
      </c>
      <c r="R33" s="8">
        <f>33054.88+20000</f>
        <v>53054.879999999997</v>
      </c>
      <c r="S33" s="8">
        <f>21312.81+20131.81+20778.81+21908.81+21222.81+41573.8+65884.81</f>
        <v>212813.66</v>
      </c>
      <c r="T33" s="8">
        <f>11358.94+10371.01+2183.23+8187.12+9877.15+15555.63</f>
        <v>57533.079999999994</v>
      </c>
      <c r="U33" s="8"/>
      <c r="V33" s="8">
        <f t="shared" si="3"/>
        <v>323401.62</v>
      </c>
      <c r="W33" s="8">
        <f t="shared" si="10"/>
        <v>26527.439999999999</v>
      </c>
      <c r="X33" s="8">
        <f t="shared" si="9"/>
        <v>30401.951428571429</v>
      </c>
      <c r="Y33" s="1">
        <f t="shared" si="11"/>
        <v>9588.8466666666664</v>
      </c>
    </row>
    <row r="34" spans="1:25" hidden="1" x14ac:dyDescent="0.25">
      <c r="A34" s="9"/>
      <c r="B34" s="10" t="s">
        <v>25</v>
      </c>
      <c r="C34" s="7"/>
      <c r="D34" s="13"/>
      <c r="E34" s="14"/>
      <c r="F34" s="14"/>
      <c r="G34" s="11"/>
      <c r="H34" s="11"/>
      <c r="I34" s="11"/>
      <c r="J34" s="11"/>
      <c r="K34" s="11"/>
      <c r="L34" s="11">
        <v>2</v>
      </c>
      <c r="M34" s="11">
        <v>9</v>
      </c>
      <c r="N34" s="11"/>
      <c r="O34" s="11">
        <v>7</v>
      </c>
      <c r="P34" s="11"/>
      <c r="Q34" s="11">
        <f t="shared" si="2"/>
        <v>18</v>
      </c>
      <c r="R34" s="8">
        <f>28318.88+34852.27</f>
        <v>63171.149999999994</v>
      </c>
      <c r="S34" s="8">
        <f>43839.82+28917+49662.31+42965.03+29513+29149.17+23054.43+109776.96+7636.16</f>
        <v>364513.88</v>
      </c>
      <c r="T34" s="8">
        <f>20530.19+10371.01+4366.46+7641.31+3379.03+9877.15+8732.93</f>
        <v>64898.079999999994</v>
      </c>
      <c r="U34" s="8"/>
      <c r="V34" s="8">
        <f t="shared" si="3"/>
        <v>492583.11</v>
      </c>
      <c r="W34" s="8">
        <f t="shared" si="10"/>
        <v>31585.574999999997</v>
      </c>
      <c r="X34" s="8">
        <f t="shared" si="9"/>
        <v>40501.542222222226</v>
      </c>
      <c r="Y34" s="1">
        <f t="shared" si="11"/>
        <v>9271.1542857142849</v>
      </c>
    </row>
    <row r="35" spans="1:25" hidden="1" x14ac:dyDescent="0.25">
      <c r="A35" s="9"/>
      <c r="B35" s="10" t="s">
        <v>26</v>
      </c>
      <c r="C35" s="7"/>
      <c r="D35" s="13"/>
      <c r="E35" s="14"/>
      <c r="F35" s="14"/>
      <c r="G35" s="11"/>
      <c r="H35" s="11"/>
      <c r="I35" s="11"/>
      <c r="J35" s="11"/>
      <c r="K35" s="11"/>
      <c r="L35" s="11">
        <v>2</v>
      </c>
      <c r="M35" s="11">
        <v>7</v>
      </c>
      <c r="N35" s="11"/>
      <c r="O35" s="11">
        <v>6</v>
      </c>
      <c r="P35" s="11"/>
      <c r="Q35" s="11">
        <f t="shared" si="2"/>
        <v>15</v>
      </c>
      <c r="R35" s="8">
        <f>79165.34+15503.57</f>
        <v>94668.91</v>
      </c>
      <c r="S35" s="8">
        <f>68200.92+29268.39+32058+61267.67+51772.48+25706.17+11023.39</f>
        <v>279297.02</v>
      </c>
      <c r="T35" s="8">
        <f>2469.34+8792.81+11046.68+11046.68+9250.36+7300.5</f>
        <v>49906.37</v>
      </c>
      <c r="U35" s="8"/>
      <c r="V35" s="8">
        <f t="shared" si="3"/>
        <v>423872.30000000005</v>
      </c>
      <c r="W35" s="8">
        <f t="shared" si="10"/>
        <v>47334.455000000002</v>
      </c>
      <c r="X35" s="8">
        <f t="shared" si="9"/>
        <v>39899.57428571429</v>
      </c>
      <c r="Y35" s="1">
        <f t="shared" si="11"/>
        <v>8317.7283333333344</v>
      </c>
    </row>
    <row r="36" spans="1:25" hidden="1" x14ac:dyDescent="0.25">
      <c r="A36" s="9"/>
      <c r="B36" s="10" t="s">
        <v>27</v>
      </c>
      <c r="C36" s="7"/>
      <c r="D36" s="13"/>
      <c r="E36" s="14"/>
      <c r="F36" s="14"/>
      <c r="G36" s="11"/>
      <c r="H36" s="11"/>
      <c r="I36" s="11"/>
      <c r="J36" s="11"/>
      <c r="K36" s="11"/>
      <c r="L36" s="11">
        <v>2</v>
      </c>
      <c r="M36" s="11">
        <v>6</v>
      </c>
      <c r="N36" s="11"/>
      <c r="O36" s="11">
        <v>5</v>
      </c>
      <c r="P36" s="11"/>
      <c r="Q36" s="11">
        <f t="shared" si="2"/>
        <v>13</v>
      </c>
      <c r="R36" s="8">
        <f>6625.31+25141.82</f>
        <v>31767.13</v>
      </c>
      <c r="S36" s="8">
        <f>37291+42799.64+29369.88+44430.91+25781+30414.46</f>
        <v>210086.88999999998</v>
      </c>
      <c r="T36" s="8">
        <f>12575.97+9012.33+11481.47+6496.58+10935.42</f>
        <v>50501.77</v>
      </c>
      <c r="U36" s="8"/>
      <c r="V36" s="8">
        <f t="shared" si="3"/>
        <v>292355.78999999998</v>
      </c>
      <c r="W36" s="8">
        <f t="shared" si="10"/>
        <v>15883.565000000001</v>
      </c>
      <c r="X36" s="8">
        <f t="shared" si="9"/>
        <v>35014.481666666667</v>
      </c>
      <c r="Y36" s="1">
        <f t="shared" si="11"/>
        <v>10100.353999999999</v>
      </c>
    </row>
    <row r="37" spans="1:25" hidden="1" x14ac:dyDescent="0.25">
      <c r="A37" s="9"/>
      <c r="B37" s="10" t="s">
        <v>28</v>
      </c>
      <c r="C37" s="7"/>
      <c r="D37" s="13"/>
      <c r="E37" s="14"/>
      <c r="F37" s="14"/>
      <c r="G37" s="8">
        <v>2</v>
      </c>
      <c r="H37" s="11">
        <v>8.25</v>
      </c>
      <c r="I37" s="8">
        <v>5</v>
      </c>
      <c r="J37" s="11"/>
      <c r="K37" s="11">
        <f>G37+H37+I37+J37</f>
        <v>15.25</v>
      </c>
      <c r="L37" s="11">
        <v>2</v>
      </c>
      <c r="M37" s="11">
        <v>7</v>
      </c>
      <c r="N37" s="11"/>
      <c r="O37" s="11">
        <v>9</v>
      </c>
      <c r="P37" s="11"/>
      <c r="Q37" s="11">
        <f t="shared" si="2"/>
        <v>18</v>
      </c>
      <c r="R37" s="8">
        <f>28114+16812.27</f>
        <v>44926.270000000004</v>
      </c>
      <c r="S37" s="8">
        <f>50874.21+31478.83+27716.32+30397+26730.44+28989.6+24193.67</f>
        <v>220380.07</v>
      </c>
      <c r="T37" s="8">
        <f>8777.37+385.36+21345.48+385.36+10841.73+10755.71+2406.57+9284.64+7901.72</f>
        <v>72083.94</v>
      </c>
      <c r="U37" s="8"/>
      <c r="V37" s="8">
        <f t="shared" si="3"/>
        <v>337390.28</v>
      </c>
      <c r="W37" s="8">
        <f t="shared" si="10"/>
        <v>22463.135000000002</v>
      </c>
      <c r="X37" s="8">
        <f t="shared" si="9"/>
        <v>31482.867142857143</v>
      </c>
      <c r="Y37" s="1">
        <f t="shared" si="11"/>
        <v>8009.3266666666668</v>
      </c>
    </row>
    <row r="38" spans="1:25" hidden="1" x14ac:dyDescent="0.25">
      <c r="A38" s="9"/>
      <c r="B38" s="10" t="s">
        <v>29</v>
      </c>
      <c r="C38" s="7"/>
      <c r="D38" s="12"/>
      <c r="E38" s="12">
        <v>69</v>
      </c>
      <c r="F38" s="12">
        <v>4</v>
      </c>
      <c r="G38" s="8"/>
      <c r="H38" s="8"/>
      <c r="I38" s="8"/>
      <c r="J38" s="8"/>
      <c r="K38" s="8"/>
      <c r="L38" s="11">
        <v>2</v>
      </c>
      <c r="M38" s="11">
        <v>9</v>
      </c>
      <c r="N38" s="11"/>
      <c r="O38" s="11">
        <v>7</v>
      </c>
      <c r="P38" s="11"/>
      <c r="Q38" s="11">
        <f t="shared" si="2"/>
        <v>18</v>
      </c>
      <c r="R38" s="8">
        <f>3422.55+20220</f>
        <v>23642.55</v>
      </c>
      <c r="S38" s="8">
        <f>23935+31903.36+22813+21082+22870+22274+5747.13+13425.52+22274</f>
        <v>186324.00999999998</v>
      </c>
      <c r="T38" s="8">
        <f>6914.14+6312.79+10370.35+10370.35+2327.27+11697.52+4993.42</f>
        <v>52985.84</v>
      </c>
      <c r="U38" s="8"/>
      <c r="V38" s="8">
        <f t="shared" si="3"/>
        <v>262952.39999999997</v>
      </c>
      <c r="W38" s="8">
        <f t="shared" si="10"/>
        <v>11821.275</v>
      </c>
      <c r="X38" s="8">
        <f t="shared" si="9"/>
        <v>20702.667777777777</v>
      </c>
      <c r="Y38" s="1">
        <f t="shared" si="11"/>
        <v>7569.4057142857137</v>
      </c>
    </row>
    <row r="39" spans="1:25" ht="33" customHeight="1" x14ac:dyDescent="0.25">
      <c r="A39" s="5">
        <v>4</v>
      </c>
      <c r="B39" s="6" t="s">
        <v>32</v>
      </c>
      <c r="C39" s="7">
        <v>154</v>
      </c>
      <c r="D39" s="7">
        <v>6</v>
      </c>
      <c r="E39" s="7">
        <v>154</v>
      </c>
      <c r="F39" s="7">
        <v>6</v>
      </c>
      <c r="G39" s="8">
        <v>2</v>
      </c>
      <c r="H39" s="8">
        <v>12</v>
      </c>
      <c r="I39" s="8">
        <v>7.6</v>
      </c>
      <c r="J39" s="8"/>
      <c r="K39" s="8">
        <v>21.6</v>
      </c>
      <c r="L39" s="11">
        <f>(L40+L41+L42+L43+L44+L45+L46+L47+L48+L49)/10</f>
        <v>1.9</v>
      </c>
      <c r="M39" s="11">
        <f>(M40+M41+M42+M43+M44+M45+M46+M47+M48+M49)/10</f>
        <v>12.3</v>
      </c>
      <c r="N39" s="11"/>
      <c r="O39" s="11">
        <f>(O40+O41+O42+O43+O44+O45+O46+O47+O48+O49)/10</f>
        <v>7.7</v>
      </c>
      <c r="P39" s="11"/>
      <c r="Q39" s="8">
        <f>(Q40+Q41+Q42+Q43+Q44+Q45+Q46+Q47+Q48+Q49)/10</f>
        <v>21.9</v>
      </c>
      <c r="R39" s="8">
        <f>(R40+R41+R42+R43+R44+R45+R46+R47+R48+R49)/1000</f>
        <v>494.14748999999995</v>
      </c>
      <c r="S39" s="8">
        <f>(S40+S41+S42+S43+S44+S45+S46+S47+S48+S49)/1000</f>
        <v>2950.4253700000004</v>
      </c>
      <c r="T39" s="8">
        <f>(T40+T41+T42+T43+T44+T45+T46+T47+T48+T49)/1000</f>
        <v>883.42174999999986</v>
      </c>
      <c r="U39" s="8"/>
      <c r="V39" s="8">
        <f>R39+S39+T39</f>
        <v>4327.9946099999997</v>
      </c>
      <c r="W39" s="8">
        <f>R39/G39/10</f>
        <v>24.707374499999997</v>
      </c>
      <c r="X39" s="8">
        <f>S39/H39/10</f>
        <v>24.586878083333339</v>
      </c>
      <c r="Y39" s="8">
        <f>T39/I39/10</f>
        <v>11.62397039473684</v>
      </c>
    </row>
    <row r="40" spans="1:25" hidden="1" x14ac:dyDescent="0.25">
      <c r="A40" s="9"/>
      <c r="B40" s="10" t="s">
        <v>20</v>
      </c>
      <c r="C40" s="7">
        <v>154</v>
      </c>
      <c r="D40" s="7">
        <v>6</v>
      </c>
      <c r="E40" s="7"/>
      <c r="F40" s="7"/>
      <c r="G40" s="8"/>
      <c r="H40" s="8"/>
      <c r="I40" s="8"/>
      <c r="J40" s="8"/>
      <c r="K40" s="8"/>
      <c r="L40" s="8">
        <v>2</v>
      </c>
      <c r="M40" s="8">
        <v>13</v>
      </c>
      <c r="N40" s="8"/>
      <c r="O40" s="8">
        <v>7</v>
      </c>
      <c r="P40" s="8"/>
      <c r="Q40" s="8">
        <f t="shared" si="2"/>
        <v>22</v>
      </c>
      <c r="R40" s="8">
        <f>32352.72+19576.5</f>
        <v>51929.22</v>
      </c>
      <c r="S40" s="8">
        <f>28348.8+25693.18+57308.95+13421.1+639.99+26873.66+23385.6+23369.37+23862.4+27175.51+13350.02+26724.32+9676.22</f>
        <v>299829.12</v>
      </c>
      <c r="T40" s="8">
        <f>9285.96+11033.93+11102.78+11607.46+7220.19+8886.4+9285.96</f>
        <v>68422.679999999993</v>
      </c>
      <c r="U40" s="8"/>
      <c r="V40" s="8">
        <f t="shared" si="3"/>
        <v>420181.02</v>
      </c>
      <c r="W40" s="8">
        <f>R40/L40</f>
        <v>25964.61</v>
      </c>
      <c r="X40" s="8">
        <f t="shared" ref="X40:X49" si="12">S40/(M40+N40)</f>
        <v>23063.778461538463</v>
      </c>
      <c r="Y40" s="1">
        <f>T40/O40</f>
        <v>9774.6685714285704</v>
      </c>
    </row>
    <row r="41" spans="1:25" hidden="1" x14ac:dyDescent="0.25">
      <c r="A41" s="9"/>
      <c r="B41" s="10" t="s">
        <v>21</v>
      </c>
      <c r="C41" s="7"/>
      <c r="D41" s="7"/>
      <c r="E41" s="7"/>
      <c r="F41" s="7"/>
      <c r="G41" s="8"/>
      <c r="H41" s="8"/>
      <c r="I41" s="8"/>
      <c r="J41" s="8"/>
      <c r="K41" s="8"/>
      <c r="L41" s="8">
        <v>2</v>
      </c>
      <c r="M41" s="8">
        <v>15</v>
      </c>
      <c r="N41" s="8"/>
      <c r="O41" s="8">
        <v>10</v>
      </c>
      <c r="P41" s="8"/>
      <c r="Q41" s="8">
        <f t="shared" si="2"/>
        <v>27</v>
      </c>
      <c r="R41" s="8">
        <f>32352.72+19576.5</f>
        <v>51929.22</v>
      </c>
      <c r="S41" s="8">
        <f>36206.96+26578.32+23249.14+2767.26+21385+13216.21+27998.79+28024.64+24517.34+27551.9+6300.22+49224.22+26736.34+12019.98+26315</f>
        <v>352091.32</v>
      </c>
      <c r="T41" s="8">
        <f>9285.96+4178.69+11102.78+11607.46+4443.2+7220.19+15962.8+15174.36+21471.39+5107.29</f>
        <v>105554.12</v>
      </c>
      <c r="U41" s="8"/>
      <c r="V41" s="8">
        <f t="shared" si="3"/>
        <v>509574.66000000003</v>
      </c>
      <c r="W41" s="8">
        <f t="shared" ref="W41:W49" si="13">R41/L41</f>
        <v>25964.61</v>
      </c>
      <c r="X41" s="8">
        <f t="shared" si="12"/>
        <v>23472.754666666668</v>
      </c>
      <c r="Y41" s="1">
        <f>T41/O41</f>
        <v>10555.412</v>
      </c>
    </row>
    <row r="42" spans="1:25" hidden="1" x14ac:dyDescent="0.25">
      <c r="A42" s="9"/>
      <c r="B42" s="10" t="s">
        <v>22</v>
      </c>
      <c r="C42" s="7"/>
      <c r="D42" s="7"/>
      <c r="E42" s="7"/>
      <c r="F42" s="7"/>
      <c r="G42" s="8"/>
      <c r="H42" s="8"/>
      <c r="I42" s="8"/>
      <c r="J42" s="8"/>
      <c r="K42" s="8"/>
      <c r="L42" s="8">
        <v>2</v>
      </c>
      <c r="M42" s="8">
        <v>13</v>
      </c>
      <c r="N42" s="8"/>
      <c r="O42" s="8">
        <v>8</v>
      </c>
      <c r="P42" s="8"/>
      <c r="Q42" s="8">
        <f t="shared" si="2"/>
        <v>23</v>
      </c>
      <c r="R42" s="8">
        <f>32352.72+19877</f>
        <v>52229.72</v>
      </c>
      <c r="S42" s="8">
        <f>30884.04+18957.68+22858.5+5035.74+22545.76+13550.72+22332.88+21507.88+18928.26+56962.9+9434.69+30870.12+23481.96</f>
        <v>297351.13000000006</v>
      </c>
      <c r="T42" s="8">
        <f>21426.91+10978.98+11106.96+11607.46+9148.64+3453.88+15272.26+11607.46</f>
        <v>94602.549999999988</v>
      </c>
      <c r="U42" s="8"/>
      <c r="V42" s="8">
        <f t="shared" si="3"/>
        <v>444183.4</v>
      </c>
      <c r="W42" s="8">
        <f t="shared" si="13"/>
        <v>26114.86</v>
      </c>
      <c r="X42" s="8">
        <f t="shared" si="12"/>
        <v>22873.16384615385</v>
      </c>
      <c r="Y42" s="1">
        <f t="shared" ref="Y42:Y49" si="14">T42/O42</f>
        <v>11825.318749999999</v>
      </c>
    </row>
    <row r="43" spans="1:25" hidden="1" x14ac:dyDescent="0.25">
      <c r="A43" s="9"/>
      <c r="B43" s="10" t="s">
        <v>23</v>
      </c>
      <c r="C43" s="7"/>
      <c r="D43" s="7"/>
      <c r="E43" s="7"/>
      <c r="F43" s="7"/>
      <c r="G43" s="8"/>
      <c r="H43" s="8"/>
      <c r="I43" s="8"/>
      <c r="J43" s="8"/>
      <c r="K43" s="8"/>
      <c r="L43" s="8">
        <v>2</v>
      </c>
      <c r="M43" s="8">
        <v>12</v>
      </c>
      <c r="N43" s="8"/>
      <c r="O43" s="8">
        <v>8</v>
      </c>
      <c r="P43" s="8"/>
      <c r="Q43" s="8">
        <f t="shared" si="2"/>
        <v>22</v>
      </c>
      <c r="R43" s="8">
        <f>32352.72+19877</f>
        <v>52229.72</v>
      </c>
      <c r="S43" s="8">
        <f>22524.21+19916.73+21082.82+17016.94+1495.42+20550.63+73512.05+20555.08+18486.79+2913.58+22989.09+23791.21</f>
        <v>264834.55</v>
      </c>
      <c r="T43" s="8">
        <f>11056.5+22868.44+15052.37+8942.38+5503+9222.88+14909.48+11607.45</f>
        <v>99162.5</v>
      </c>
      <c r="U43" s="8"/>
      <c r="V43" s="8">
        <f t="shared" si="3"/>
        <v>416226.77</v>
      </c>
      <c r="W43" s="8">
        <f t="shared" si="13"/>
        <v>26114.86</v>
      </c>
      <c r="X43" s="8">
        <f t="shared" si="12"/>
        <v>22069.545833333334</v>
      </c>
      <c r="Y43" s="1">
        <f t="shared" si="14"/>
        <v>12395.3125</v>
      </c>
    </row>
    <row r="44" spans="1:25" hidden="1" x14ac:dyDescent="0.25">
      <c r="A44" s="9"/>
      <c r="B44" s="10" t="s">
        <v>24</v>
      </c>
      <c r="C44" s="7"/>
      <c r="D44" s="7"/>
      <c r="E44" s="7"/>
      <c r="F44" s="7"/>
      <c r="G44" s="8"/>
      <c r="H44" s="8"/>
      <c r="I44" s="8"/>
      <c r="J44" s="8"/>
      <c r="K44" s="8"/>
      <c r="L44" s="8">
        <v>2</v>
      </c>
      <c r="M44" s="8">
        <v>12</v>
      </c>
      <c r="N44" s="8"/>
      <c r="O44" s="8">
        <v>7</v>
      </c>
      <c r="P44" s="8"/>
      <c r="Q44" s="8">
        <f t="shared" si="2"/>
        <v>21</v>
      </c>
      <c r="R44" s="8">
        <f>32352.72+19877</f>
        <v>52229.72</v>
      </c>
      <c r="S44" s="8">
        <f>28489.57+21947.38+21842.23+13517.81+18731.7+19672.28+2509.47+20342.96+18520.68+14320.03+23757.72+24978.7</f>
        <v>228630.53</v>
      </c>
      <c r="T44" s="8">
        <f>11607.45+11056.5+8942.4+21920.15+13682.04+15784.78+11607.45</f>
        <v>94600.77</v>
      </c>
      <c r="U44" s="8"/>
      <c r="V44" s="8">
        <f t="shared" si="3"/>
        <v>375461.02</v>
      </c>
      <c r="W44" s="8">
        <f t="shared" si="13"/>
        <v>26114.86</v>
      </c>
      <c r="X44" s="8">
        <f t="shared" si="12"/>
        <v>19052.544166666667</v>
      </c>
      <c r="Y44" s="1">
        <f t="shared" si="14"/>
        <v>13514.395714285714</v>
      </c>
    </row>
    <row r="45" spans="1:25" hidden="1" x14ac:dyDescent="0.25">
      <c r="A45" s="9"/>
      <c r="B45" s="10" t="s">
        <v>25</v>
      </c>
      <c r="C45" s="7"/>
      <c r="D45" s="7"/>
      <c r="E45" s="12"/>
      <c r="F45" s="12"/>
      <c r="G45" s="8"/>
      <c r="H45" s="8"/>
      <c r="I45" s="8"/>
      <c r="J45" s="8"/>
      <c r="K45" s="8"/>
      <c r="L45" s="8">
        <v>2</v>
      </c>
      <c r="M45" s="8">
        <v>11</v>
      </c>
      <c r="N45" s="8"/>
      <c r="O45" s="8">
        <v>9</v>
      </c>
      <c r="P45" s="8"/>
      <c r="Q45" s="8">
        <f t="shared" si="2"/>
        <v>22</v>
      </c>
      <c r="R45" s="8">
        <f>62925+19877</f>
        <v>82802</v>
      </c>
      <c r="S45" s="8">
        <f>29845.2+21314.4+68772.89+23814.04+30180.99+29167.98+56400.75+25941.6+711.15+73280.03+62718.18</f>
        <v>422147.21</v>
      </c>
      <c r="T45" s="8">
        <f>9285.96+17496+6430.34+6887.42+3264.35+8942.39+4634.12+11607.46+11607.46</f>
        <v>80155.5</v>
      </c>
      <c r="U45" s="8"/>
      <c r="V45" s="8">
        <f t="shared" si="3"/>
        <v>585104.71</v>
      </c>
      <c r="W45" s="8">
        <f t="shared" si="13"/>
        <v>41401</v>
      </c>
      <c r="X45" s="8">
        <f t="shared" si="12"/>
        <v>38377.019090909096</v>
      </c>
      <c r="Y45" s="1">
        <f t="shared" si="14"/>
        <v>8906.1666666666661</v>
      </c>
    </row>
    <row r="46" spans="1:25" hidden="1" x14ac:dyDescent="0.25">
      <c r="A46" s="9"/>
      <c r="B46" s="10" t="s">
        <v>26</v>
      </c>
      <c r="C46" s="7"/>
      <c r="D46" s="7"/>
      <c r="E46" s="12"/>
      <c r="F46" s="12"/>
      <c r="G46" s="8"/>
      <c r="H46" s="8"/>
      <c r="I46" s="8"/>
      <c r="J46" s="8"/>
      <c r="K46" s="8"/>
      <c r="L46" s="8">
        <v>2</v>
      </c>
      <c r="M46" s="8">
        <v>11</v>
      </c>
      <c r="N46" s="8"/>
      <c r="O46" s="8">
        <v>8</v>
      </c>
      <c r="P46" s="8"/>
      <c r="Q46" s="8">
        <f t="shared" si="2"/>
        <v>21</v>
      </c>
      <c r="R46" s="8">
        <f>7961.87+22127.48</f>
        <v>30089.35</v>
      </c>
      <c r="S46" s="8">
        <f>40938.32+28420.93+17648.33+31845.9+24601.6+30641.99+28054.96+20825.63+1989.27+17600.19+17013.63</f>
        <v>259580.75</v>
      </c>
      <c r="T46" s="8">
        <f>13928.96+18519.49+11106.96+10606.06+17261.37+3779.07+11607.46+11607.46</f>
        <v>98416.829999999987</v>
      </c>
      <c r="U46" s="8"/>
      <c r="V46" s="8">
        <f t="shared" si="3"/>
        <v>388086.92999999993</v>
      </c>
      <c r="W46" s="8">
        <f t="shared" si="13"/>
        <v>15044.674999999999</v>
      </c>
      <c r="X46" s="8">
        <f t="shared" si="12"/>
        <v>23598.25</v>
      </c>
      <c r="Y46" s="1">
        <f t="shared" si="14"/>
        <v>12302.103749999998</v>
      </c>
    </row>
    <row r="47" spans="1:25" hidden="1" x14ac:dyDescent="0.25">
      <c r="A47" s="9"/>
      <c r="B47" s="10" t="s">
        <v>27</v>
      </c>
      <c r="C47" s="7"/>
      <c r="D47" s="7"/>
      <c r="E47" s="12"/>
      <c r="F47" s="12"/>
      <c r="G47" s="8"/>
      <c r="H47" s="8"/>
      <c r="I47" s="8"/>
      <c r="J47" s="8"/>
      <c r="K47" s="8"/>
      <c r="L47" s="8">
        <v>1</v>
      </c>
      <c r="M47" s="8">
        <v>12</v>
      </c>
      <c r="N47" s="8"/>
      <c r="O47" s="8">
        <v>7</v>
      </c>
      <c r="P47" s="8"/>
      <c r="Q47" s="8">
        <f t="shared" si="2"/>
        <v>20</v>
      </c>
      <c r="R47" s="8">
        <v>19877</v>
      </c>
      <c r="S47" s="8">
        <f>83173.5+22431.4+10571.5+19006.67+27738.2+22421.6+66320.59+9156.94+28813.96+17101.84+1044.42+19509.63</f>
        <v>327290.25000000006</v>
      </c>
      <c r="T47" s="8">
        <f>11607.45+20323.49+11106.96+10905.09+10940.19+11607.46+11607.46</f>
        <v>88098.1</v>
      </c>
      <c r="U47" s="8"/>
      <c r="V47" s="8">
        <f t="shared" si="3"/>
        <v>435265.35000000009</v>
      </c>
      <c r="W47" s="8">
        <f t="shared" si="13"/>
        <v>19877</v>
      </c>
      <c r="X47" s="8">
        <f t="shared" si="12"/>
        <v>27274.187500000004</v>
      </c>
      <c r="Y47" s="1">
        <f t="shared" si="14"/>
        <v>12585.442857142858</v>
      </c>
    </row>
    <row r="48" spans="1:25" hidden="1" x14ac:dyDescent="0.25">
      <c r="A48" s="9"/>
      <c r="B48" s="10" t="s">
        <v>28</v>
      </c>
      <c r="C48" s="7"/>
      <c r="D48" s="7"/>
      <c r="E48" s="7"/>
      <c r="F48" s="7"/>
      <c r="G48" s="8">
        <v>2</v>
      </c>
      <c r="H48" s="8">
        <v>12</v>
      </c>
      <c r="I48" s="8">
        <v>7.6</v>
      </c>
      <c r="J48" s="8"/>
      <c r="K48" s="8">
        <f>G48+H48+I48</f>
        <v>21.6</v>
      </c>
      <c r="L48" s="8">
        <v>2</v>
      </c>
      <c r="M48" s="8">
        <v>11</v>
      </c>
      <c r="N48" s="8"/>
      <c r="O48" s="8">
        <v>7</v>
      </c>
      <c r="P48" s="8"/>
      <c r="Q48" s="8">
        <f t="shared" si="2"/>
        <v>20</v>
      </c>
      <c r="R48" s="8">
        <f>23128.5+21878.8</f>
        <v>45007.3</v>
      </c>
      <c r="S48" s="8">
        <f>2703.71+60558.56+24280.48+24986.92+15891.18+23425.38+25913.64+22965.7+31783.8+18495.94+9384.96</f>
        <v>260390.27</v>
      </c>
      <c r="T48" s="8">
        <f>11607.46+18727.8+11106.96+10905.09+11006.02+11607.46+11607.46</f>
        <v>86568.25</v>
      </c>
      <c r="U48" s="8"/>
      <c r="V48" s="8">
        <f t="shared" si="3"/>
        <v>391965.82</v>
      </c>
      <c r="W48" s="8">
        <f t="shared" si="13"/>
        <v>22503.65</v>
      </c>
      <c r="X48" s="8">
        <f t="shared" si="12"/>
        <v>23671.842727272728</v>
      </c>
      <c r="Y48" s="1">
        <f t="shared" si="14"/>
        <v>12366.892857142857</v>
      </c>
    </row>
    <row r="49" spans="1:25" hidden="1" x14ac:dyDescent="0.25">
      <c r="A49" s="9"/>
      <c r="B49" s="10" t="s">
        <v>29</v>
      </c>
      <c r="C49" s="7"/>
      <c r="D49" s="12"/>
      <c r="E49" s="7">
        <v>154</v>
      </c>
      <c r="F49" s="7">
        <v>6</v>
      </c>
      <c r="G49" s="8"/>
      <c r="H49" s="8"/>
      <c r="I49" s="8"/>
      <c r="J49" s="8"/>
      <c r="K49" s="8"/>
      <c r="L49" s="8">
        <v>2</v>
      </c>
      <c r="M49" s="8">
        <v>13</v>
      </c>
      <c r="N49" s="8"/>
      <c r="O49" s="8">
        <v>6</v>
      </c>
      <c r="P49" s="8"/>
      <c r="Q49" s="8">
        <f t="shared" si="2"/>
        <v>21</v>
      </c>
      <c r="R49" s="8">
        <f>35924.84+19899.4</f>
        <v>55824.24</v>
      </c>
      <c r="S49" s="8">
        <f>10119.64+13728.79+24103.44+22661.26+21415.68+20771.99+12548.84+18343.36+26513.93+16311.2+17678.16+10680.35+23403.6</f>
        <v>238280.24000000002</v>
      </c>
      <c r="T49" s="8">
        <f>11607.46+11106.96+10905.09+11006.02+11607.46+11607.46</f>
        <v>67840.45</v>
      </c>
      <c r="U49" s="8"/>
      <c r="V49" s="8">
        <f t="shared" si="3"/>
        <v>361944.93</v>
      </c>
      <c r="W49" s="8">
        <f t="shared" si="13"/>
        <v>27912.12</v>
      </c>
      <c r="X49" s="8">
        <f t="shared" si="12"/>
        <v>18329.249230769234</v>
      </c>
      <c r="Y49" s="1">
        <f t="shared" si="14"/>
        <v>11306.741666666667</v>
      </c>
    </row>
    <row r="50" spans="1:25" ht="27" customHeight="1" x14ac:dyDescent="0.25">
      <c r="A50" s="5">
        <v>5</v>
      </c>
      <c r="B50" s="6" t="s">
        <v>33</v>
      </c>
      <c r="C50" s="7">
        <v>111</v>
      </c>
      <c r="D50" s="7">
        <v>5</v>
      </c>
      <c r="E50" s="7">
        <v>111</v>
      </c>
      <c r="F50" s="7">
        <v>6</v>
      </c>
      <c r="G50" s="8">
        <v>2</v>
      </c>
      <c r="H50" s="11">
        <v>11.25</v>
      </c>
      <c r="I50" s="8">
        <v>7.5</v>
      </c>
      <c r="J50" s="8"/>
      <c r="K50" s="11">
        <v>20.75</v>
      </c>
      <c r="L50" s="11">
        <f>(L51+L52+L53+L54+L55+L56+L57+L58+L59+L60)/10</f>
        <v>2</v>
      </c>
      <c r="M50" s="11">
        <f>(M51+M52+M53+M54+M55+M56+M57+M58+M59+M60)/10</f>
        <v>11.1</v>
      </c>
      <c r="N50" s="11"/>
      <c r="O50" s="11">
        <f>(O51+O52+O53+O54+O55+O56+O57+O58+O59+O60)/10</f>
        <v>6.8</v>
      </c>
      <c r="P50" s="11"/>
      <c r="Q50" s="11">
        <f>(Q51+Q52+Q53+Q54+Q55+Q56+Q57+Q58+Q59+Q60)/10</f>
        <v>19.899999999999999</v>
      </c>
      <c r="R50" s="8">
        <v>513.5</v>
      </c>
      <c r="S50" s="8">
        <v>2330.5</v>
      </c>
      <c r="T50" s="8">
        <v>628.70000000000005</v>
      </c>
      <c r="U50" s="8"/>
      <c r="V50" s="8">
        <f>R50+S50+T50</f>
        <v>3472.7</v>
      </c>
      <c r="W50" s="8">
        <f>R50/G50/10</f>
        <v>25.675000000000001</v>
      </c>
      <c r="X50" s="8">
        <f>S50/H50/10</f>
        <v>20.715555555555557</v>
      </c>
      <c r="Y50" s="8">
        <f>T50/I50/10</f>
        <v>8.3826666666666672</v>
      </c>
    </row>
    <row r="51" spans="1:25" hidden="1" x14ac:dyDescent="0.25">
      <c r="A51" s="9"/>
      <c r="B51" s="10" t="s">
        <v>20</v>
      </c>
      <c r="C51" s="7">
        <v>111</v>
      </c>
      <c r="D51" s="7">
        <v>5</v>
      </c>
      <c r="E51" s="7"/>
      <c r="F51" s="7"/>
      <c r="G51" s="8"/>
      <c r="H51" s="8"/>
      <c r="I51" s="8"/>
      <c r="J51" s="8"/>
      <c r="K51" s="8"/>
      <c r="L51" s="8">
        <v>2</v>
      </c>
      <c r="M51" s="8">
        <v>10</v>
      </c>
      <c r="N51" s="8"/>
      <c r="O51" s="8">
        <v>6</v>
      </c>
      <c r="P51" s="8"/>
      <c r="Q51" s="8">
        <f t="shared" ref="Q51:Q60" si="15">P51+O51+N51+M51+L51</f>
        <v>18</v>
      </c>
      <c r="R51" s="8">
        <f>23699.6+20076</f>
        <v>43775.6</v>
      </c>
      <c r="S51" s="8">
        <f>3298.19+22509+20967.1+19790.9+21522.42+53247.32+25768.68+4157.5+13613.06+48927.84</f>
        <v>233802.00999999998</v>
      </c>
      <c r="T51" s="8">
        <f>8886.4+8886.4+8886.4+8886.4+8886.4+1568.18</f>
        <v>46000.18</v>
      </c>
      <c r="U51" s="8"/>
      <c r="V51" s="8">
        <f t="shared" ref="V51:V60" si="16">U51+T51+S51+R51</f>
        <v>323577.78999999998</v>
      </c>
      <c r="W51" s="8">
        <f>R51/L51</f>
        <v>21887.8</v>
      </c>
      <c r="X51" s="8">
        <f t="shared" ref="X51:X60" si="17">S51/(M51+N51)</f>
        <v>23380.200999999997</v>
      </c>
      <c r="Y51" s="1">
        <f>T51/O51</f>
        <v>7666.6966666666667</v>
      </c>
    </row>
    <row r="52" spans="1:25" hidden="1" x14ac:dyDescent="0.25">
      <c r="A52" s="9"/>
      <c r="B52" s="10" t="s">
        <v>21</v>
      </c>
      <c r="C52" s="7"/>
      <c r="D52" s="7"/>
      <c r="E52" s="7"/>
      <c r="F52" s="7"/>
      <c r="G52" s="8"/>
      <c r="H52" s="8"/>
      <c r="I52" s="8"/>
      <c r="J52" s="8"/>
      <c r="K52" s="8"/>
      <c r="L52" s="8">
        <v>2</v>
      </c>
      <c r="M52" s="8">
        <v>10</v>
      </c>
      <c r="N52" s="8"/>
      <c r="O52" s="8">
        <v>6</v>
      </c>
      <c r="P52" s="8"/>
      <c r="Q52" s="8">
        <f t="shared" si="15"/>
        <v>18</v>
      </c>
      <c r="R52" s="8">
        <f>54587.14+27659.7</f>
        <v>82246.84</v>
      </c>
      <c r="S52" s="8">
        <f>444.32+22446.2+16176.52+23349.8+21439.05+42396.8+21793.72+21416.58+20130.02+53390.59</f>
        <v>242983.59999999998</v>
      </c>
      <c r="T52" s="8">
        <f>8886.4+10989.03+8886.4+8886.4+4443.2+730.07</f>
        <v>42821.5</v>
      </c>
      <c r="U52" s="8"/>
      <c r="V52" s="8">
        <f t="shared" si="16"/>
        <v>368051.93999999994</v>
      </c>
      <c r="W52" s="8">
        <f t="shared" ref="W52:W60" si="18">R52/L52</f>
        <v>41123.42</v>
      </c>
      <c r="X52" s="8">
        <f t="shared" si="17"/>
        <v>24298.359999999997</v>
      </c>
      <c r="Y52" s="1">
        <f>T52/O52</f>
        <v>7136.916666666667</v>
      </c>
    </row>
    <row r="53" spans="1:25" hidden="1" x14ac:dyDescent="0.25">
      <c r="A53" s="9"/>
      <c r="B53" s="10" t="s">
        <v>22</v>
      </c>
      <c r="C53" s="7"/>
      <c r="D53" s="7"/>
      <c r="E53" s="7"/>
      <c r="F53" s="7"/>
      <c r="G53" s="8"/>
      <c r="H53" s="8"/>
      <c r="I53" s="8"/>
      <c r="J53" s="8"/>
      <c r="K53" s="8"/>
      <c r="L53" s="8">
        <v>2</v>
      </c>
      <c r="M53" s="8">
        <v>11</v>
      </c>
      <c r="N53" s="8"/>
      <c r="O53" s="8">
        <v>6</v>
      </c>
      <c r="P53" s="8"/>
      <c r="Q53" s="8">
        <f t="shared" si="15"/>
        <v>19</v>
      </c>
      <c r="R53" s="8">
        <f>28142.8+24519.2</f>
        <v>52662</v>
      </c>
      <c r="S53" s="8">
        <f>26183.75+15966.4+16966.4+22996.54+17889.84+26133.66+25062.27+16955.54+36608+3146.88+10185.63</f>
        <v>218094.91</v>
      </c>
      <c r="T53" s="8">
        <f>17101.79+8886.4+8886.4+8886.4+8886.4+8886.4</f>
        <v>61533.790000000008</v>
      </c>
      <c r="U53" s="8"/>
      <c r="V53" s="8">
        <f t="shared" si="16"/>
        <v>332290.7</v>
      </c>
      <c r="W53" s="8">
        <f t="shared" si="18"/>
        <v>26331</v>
      </c>
      <c r="X53" s="8">
        <f t="shared" si="17"/>
        <v>19826.810000000001</v>
      </c>
      <c r="Y53" s="1">
        <f t="shared" ref="Y53:Y60" si="19">T53/O53</f>
        <v>10255.631666666668</v>
      </c>
    </row>
    <row r="54" spans="1:25" hidden="1" x14ac:dyDescent="0.25">
      <c r="A54" s="9"/>
      <c r="B54" s="10" t="s">
        <v>23</v>
      </c>
      <c r="C54" s="7"/>
      <c r="D54" s="7"/>
      <c r="E54" s="7"/>
      <c r="F54" s="7"/>
      <c r="G54" s="8"/>
      <c r="H54" s="8"/>
      <c r="I54" s="8"/>
      <c r="J54" s="8"/>
      <c r="K54" s="8"/>
      <c r="L54" s="8">
        <v>2</v>
      </c>
      <c r="M54" s="8">
        <v>11</v>
      </c>
      <c r="N54" s="8"/>
      <c r="O54" s="8">
        <v>6</v>
      </c>
      <c r="P54" s="8"/>
      <c r="Q54" s="8">
        <f t="shared" si="15"/>
        <v>19</v>
      </c>
      <c r="R54" s="8">
        <f>41044.89+24519.2</f>
        <v>65564.09</v>
      </c>
      <c r="S54" s="8">
        <f>22013.98+8682.76+16482.4+19799.86+29403.91+3034.18+17269.68+47346.45+37712.88+7544.28+4842.97</f>
        <v>214133.34999999998</v>
      </c>
      <c r="T54" s="8">
        <f>2260.2+11429.95+11551.08+11299.23+9620.48+11429.95</f>
        <v>57590.89</v>
      </c>
      <c r="U54" s="8"/>
      <c r="V54" s="8">
        <f t="shared" si="16"/>
        <v>337288.32999999996</v>
      </c>
      <c r="W54" s="8">
        <f t="shared" si="18"/>
        <v>32782.044999999998</v>
      </c>
      <c r="X54" s="8">
        <f t="shared" si="17"/>
        <v>19466.668181818179</v>
      </c>
      <c r="Y54" s="1">
        <f t="shared" si="19"/>
        <v>9598.4816666666666</v>
      </c>
    </row>
    <row r="55" spans="1:25" hidden="1" x14ac:dyDescent="0.25">
      <c r="A55" s="9"/>
      <c r="B55" s="10" t="s">
        <v>24</v>
      </c>
      <c r="C55" s="7"/>
      <c r="D55" s="7"/>
      <c r="E55" s="7"/>
      <c r="F55" s="7"/>
      <c r="G55" s="8"/>
      <c r="H55" s="8"/>
      <c r="I55" s="8"/>
      <c r="J55" s="8"/>
      <c r="K55" s="8"/>
      <c r="L55" s="8">
        <v>2</v>
      </c>
      <c r="M55" s="8">
        <v>11</v>
      </c>
      <c r="N55" s="8"/>
      <c r="O55" s="8">
        <v>7</v>
      </c>
      <c r="P55" s="8"/>
      <c r="Q55" s="8">
        <f t="shared" si="15"/>
        <v>20</v>
      </c>
      <c r="R55" s="8">
        <f>28142.8+24519.2</f>
        <v>52662</v>
      </c>
      <c r="S55" s="8">
        <f>19928.65+13085.74+18424.16+22533.85+22514.71+10126.52+17629.68+10606.84+93178.92+20528.14+7148.98</f>
        <v>255706.19000000003</v>
      </c>
      <c r="T55" s="8">
        <f>10097.62+11279.55+12540.31+10097.62+10809.75+10158.17+4256.11</f>
        <v>69239.12999999999</v>
      </c>
      <c r="U55" s="8"/>
      <c r="V55" s="8">
        <f t="shared" si="16"/>
        <v>377607.32</v>
      </c>
      <c r="W55" s="8">
        <f t="shared" si="18"/>
        <v>26331</v>
      </c>
      <c r="X55" s="8">
        <f t="shared" si="17"/>
        <v>23246.017272727277</v>
      </c>
      <c r="Y55" s="1">
        <f t="shared" si="19"/>
        <v>9891.3042857142846</v>
      </c>
    </row>
    <row r="56" spans="1:25" hidden="1" x14ac:dyDescent="0.25">
      <c r="A56" s="9"/>
      <c r="B56" s="10" t="s">
        <v>25</v>
      </c>
      <c r="C56" s="7"/>
      <c r="D56" s="7"/>
      <c r="E56" s="12"/>
      <c r="F56" s="12"/>
      <c r="G56" s="8"/>
      <c r="H56" s="8"/>
      <c r="I56" s="8"/>
      <c r="J56" s="8"/>
      <c r="K56" s="8"/>
      <c r="L56" s="8">
        <v>2</v>
      </c>
      <c r="M56" s="8">
        <v>11</v>
      </c>
      <c r="N56" s="8"/>
      <c r="O56" s="8">
        <v>8</v>
      </c>
      <c r="P56" s="8"/>
      <c r="Q56" s="8">
        <f t="shared" si="15"/>
        <v>21</v>
      </c>
      <c r="R56" s="8">
        <f>35945.16+21742.2</f>
        <v>57687.360000000001</v>
      </c>
      <c r="S56" s="8">
        <f>20224.2+19058.09+56648.9+26448.81+29441.09+17323.12+19865.83+4436.34+18850.76+23255.9+6819.8</f>
        <v>242372.83999999997</v>
      </c>
      <c r="T56" s="8">
        <f>10097.62+10158.17+4302.61+10097.62+10097.62+19404.88+3506.18+4677.06</f>
        <v>72341.759999999995</v>
      </c>
      <c r="U56" s="8"/>
      <c r="V56" s="8">
        <f t="shared" si="16"/>
        <v>372401.95999999996</v>
      </c>
      <c r="W56" s="8">
        <f t="shared" si="18"/>
        <v>28843.68</v>
      </c>
      <c r="X56" s="8">
        <f t="shared" si="17"/>
        <v>22033.894545454543</v>
      </c>
      <c r="Y56" s="1">
        <f t="shared" si="19"/>
        <v>9042.7199999999993</v>
      </c>
    </row>
    <row r="57" spans="1:25" hidden="1" x14ac:dyDescent="0.25">
      <c r="A57" s="9"/>
      <c r="B57" s="10" t="s">
        <v>26</v>
      </c>
      <c r="C57" s="7"/>
      <c r="D57" s="7"/>
      <c r="E57" s="12"/>
      <c r="F57" s="12"/>
      <c r="G57" s="8"/>
      <c r="H57" s="8"/>
      <c r="I57" s="8"/>
      <c r="J57" s="8"/>
      <c r="K57" s="8"/>
      <c r="L57" s="8">
        <v>2</v>
      </c>
      <c r="M57" s="8">
        <v>11</v>
      </c>
      <c r="N57" s="8"/>
      <c r="O57" s="8">
        <v>8</v>
      </c>
      <c r="P57" s="8"/>
      <c r="Q57" s="8">
        <f t="shared" si="15"/>
        <v>21</v>
      </c>
      <c r="R57" s="8">
        <f>1742.78+22439.95</f>
        <v>24182.73</v>
      </c>
      <c r="S57" s="8">
        <f>59458.28+19799.74+4259.53+22579.48+75354.71+18235.66+20493.66+15633.8+15670.35+25399.35+20922</f>
        <v>297806.56</v>
      </c>
      <c r="T57" s="8">
        <f>10512.22+22743.77+10218.74+22225.65+10097.61+4506.3+1587.06+7418.74</f>
        <v>89310.090000000011</v>
      </c>
      <c r="U57" s="8"/>
      <c r="V57" s="8">
        <f t="shared" si="16"/>
        <v>411299.38</v>
      </c>
      <c r="W57" s="8">
        <f t="shared" si="18"/>
        <v>12091.365</v>
      </c>
      <c r="X57" s="8">
        <f t="shared" si="17"/>
        <v>27073.323636363635</v>
      </c>
      <c r="Y57" s="1">
        <f t="shared" si="19"/>
        <v>11163.761250000001</v>
      </c>
    </row>
    <row r="58" spans="1:25" hidden="1" x14ac:dyDescent="0.25">
      <c r="A58" s="9"/>
      <c r="B58" s="10" t="s">
        <v>27</v>
      </c>
      <c r="C58" s="7"/>
      <c r="D58" s="7"/>
      <c r="E58" s="12"/>
      <c r="F58" s="12"/>
      <c r="G58" s="8"/>
      <c r="H58" s="8"/>
      <c r="I58" s="8"/>
      <c r="J58" s="8"/>
      <c r="K58" s="8"/>
      <c r="L58" s="8">
        <v>2</v>
      </c>
      <c r="M58" s="8">
        <v>12</v>
      </c>
      <c r="N58" s="8"/>
      <c r="O58" s="8">
        <v>7</v>
      </c>
      <c r="P58" s="8"/>
      <c r="Q58" s="8">
        <f t="shared" si="15"/>
        <v>21</v>
      </c>
      <c r="R58" s="8">
        <f>23699.6+20076</f>
        <v>43775.6</v>
      </c>
      <c r="S58" s="8">
        <f>9023.22+54227.39+3046.54+61004.43+17201.16+18448.76+19378.97+13755.28+10415.94+23961.35+4995.06+5911.56</f>
        <v>241369.66</v>
      </c>
      <c r="T58" s="8">
        <f>10512.22+8707+10218.74+8655.1+7140.69+10097.62+4808.47</f>
        <v>60139.840000000004</v>
      </c>
      <c r="U58" s="8"/>
      <c r="V58" s="8">
        <f t="shared" si="16"/>
        <v>345285.1</v>
      </c>
      <c r="W58" s="8">
        <f t="shared" si="18"/>
        <v>21887.8</v>
      </c>
      <c r="X58" s="8">
        <f t="shared" si="17"/>
        <v>20114.138333333332</v>
      </c>
      <c r="Y58" s="1">
        <f t="shared" si="19"/>
        <v>8591.4057142857146</v>
      </c>
    </row>
    <row r="59" spans="1:25" hidden="1" x14ac:dyDescent="0.25">
      <c r="A59" s="9"/>
      <c r="B59" s="10" t="s">
        <v>28</v>
      </c>
      <c r="C59" s="7"/>
      <c r="D59" s="7"/>
      <c r="E59" s="7"/>
      <c r="F59" s="7"/>
      <c r="G59" s="8">
        <v>2</v>
      </c>
      <c r="H59" s="11">
        <v>11.25</v>
      </c>
      <c r="I59" s="8">
        <v>7.5</v>
      </c>
      <c r="J59" s="8"/>
      <c r="K59" s="11">
        <f>G59+H59+I59</f>
        <v>20.75</v>
      </c>
      <c r="L59" s="8">
        <v>2</v>
      </c>
      <c r="M59" s="8">
        <v>13</v>
      </c>
      <c r="N59" s="8"/>
      <c r="O59" s="8">
        <v>7</v>
      </c>
      <c r="P59" s="8"/>
      <c r="Q59" s="8">
        <f t="shared" si="15"/>
        <v>22</v>
      </c>
      <c r="R59" s="8">
        <f>23895.2+22931.2</f>
        <v>46826.400000000001</v>
      </c>
      <c r="S59" s="8">
        <f>10324.62+16850.98+14257.58+17723.06+5721.1+17816.33+43313.27+20488.8+22025.28+6712.96+23519.12+4369.61+14141.38</f>
        <v>217264.08999999997</v>
      </c>
      <c r="T59" s="8">
        <f>10512.22+634.74+8361.54+22027.29+7932.63+10097.62+9672.56</f>
        <v>69238.600000000006</v>
      </c>
      <c r="U59" s="8"/>
      <c r="V59" s="8">
        <f t="shared" si="16"/>
        <v>333329.08999999997</v>
      </c>
      <c r="W59" s="8">
        <f t="shared" si="18"/>
        <v>23413.200000000001</v>
      </c>
      <c r="X59" s="8">
        <f t="shared" si="17"/>
        <v>16712.622307692305</v>
      </c>
      <c r="Y59" s="1">
        <f t="shared" si="19"/>
        <v>9891.2285714285717</v>
      </c>
    </row>
    <row r="60" spans="1:25" hidden="1" x14ac:dyDescent="0.25">
      <c r="A60" s="9"/>
      <c r="B60" s="10" t="s">
        <v>29</v>
      </c>
      <c r="C60" s="7"/>
      <c r="D60" s="12"/>
      <c r="E60" s="7">
        <v>111</v>
      </c>
      <c r="F60" s="7">
        <v>6</v>
      </c>
      <c r="G60" s="8">
        <v>2</v>
      </c>
      <c r="H60" s="11">
        <v>11.25</v>
      </c>
      <c r="I60" s="8">
        <v>7.5</v>
      </c>
      <c r="J60" s="8"/>
      <c r="K60" s="11">
        <f>G60+H60+I60</f>
        <v>20.75</v>
      </c>
      <c r="L60" s="8">
        <v>2</v>
      </c>
      <c r="M60" s="8">
        <v>11</v>
      </c>
      <c r="N60" s="8"/>
      <c r="O60" s="8">
        <v>7</v>
      </c>
      <c r="P60" s="8"/>
      <c r="Q60" s="8">
        <f t="shared" si="15"/>
        <v>20</v>
      </c>
      <c r="R60" s="8">
        <v>57948.5</v>
      </c>
      <c r="S60" s="8">
        <v>240392.6</v>
      </c>
      <c r="T60" s="8">
        <v>63135.1</v>
      </c>
      <c r="U60" s="8"/>
      <c r="V60" s="8">
        <f t="shared" si="16"/>
        <v>361476.2</v>
      </c>
      <c r="W60" s="8">
        <f t="shared" si="18"/>
        <v>28974.25</v>
      </c>
      <c r="X60" s="8">
        <f t="shared" si="17"/>
        <v>21853.872727272726</v>
      </c>
      <c r="Y60" s="1">
        <f t="shared" si="19"/>
        <v>9019.2999999999993</v>
      </c>
    </row>
    <row r="61" spans="1:25" ht="28.5" x14ac:dyDescent="0.25">
      <c r="A61" s="15"/>
      <c r="B61" s="16" t="s">
        <v>34</v>
      </c>
      <c r="C61" s="17">
        <f>C6+C17+C28+C39+C50</f>
        <v>710</v>
      </c>
      <c r="D61" s="17">
        <f t="shared" ref="D61:U61" si="20">D6+D17+D28+D39+D50</f>
        <v>29</v>
      </c>
      <c r="E61" s="17">
        <f t="shared" si="20"/>
        <v>710</v>
      </c>
      <c r="F61" s="17">
        <f t="shared" si="20"/>
        <v>30</v>
      </c>
      <c r="G61" s="17">
        <f t="shared" si="20"/>
        <v>10</v>
      </c>
      <c r="H61" s="17">
        <f t="shared" si="20"/>
        <v>61</v>
      </c>
      <c r="I61" s="17">
        <f t="shared" si="20"/>
        <v>39.1</v>
      </c>
      <c r="J61" s="17">
        <f t="shared" si="20"/>
        <v>0</v>
      </c>
      <c r="K61" s="17">
        <f t="shared" si="20"/>
        <v>110.1</v>
      </c>
      <c r="L61" s="17">
        <f t="shared" si="20"/>
        <v>10.1</v>
      </c>
      <c r="M61" s="17">
        <f t="shared" si="20"/>
        <v>64.899999999999991</v>
      </c>
      <c r="N61" s="17">
        <f t="shared" si="20"/>
        <v>0</v>
      </c>
      <c r="O61" s="17">
        <f t="shared" si="20"/>
        <v>38.9</v>
      </c>
      <c r="P61" s="17">
        <f t="shared" si="20"/>
        <v>0</v>
      </c>
      <c r="Q61" s="17">
        <f t="shared" si="20"/>
        <v>113.9</v>
      </c>
      <c r="R61" s="17">
        <f t="shared" si="20"/>
        <v>2598.94535</v>
      </c>
      <c r="S61" s="17">
        <f t="shared" si="20"/>
        <v>15385.044440000001</v>
      </c>
      <c r="T61" s="17">
        <f t="shared" si="20"/>
        <v>3821.4917100000002</v>
      </c>
      <c r="U61" s="17">
        <f t="shared" si="20"/>
        <v>0</v>
      </c>
      <c r="V61" s="17">
        <v>21805.4</v>
      </c>
      <c r="W61" s="17">
        <f>R61/G61/10</f>
        <v>25.989453500000003</v>
      </c>
      <c r="X61" s="17">
        <f>S61/H61/10</f>
        <v>25.221384327868854</v>
      </c>
      <c r="Y61" s="17">
        <f>T61/I61/10</f>
        <v>9.7736360869565218</v>
      </c>
    </row>
    <row r="65" spans="2:6" ht="53.25" customHeight="1" x14ac:dyDescent="0.25">
      <c r="B65" s="20" t="s">
        <v>35</v>
      </c>
      <c r="C65" s="21"/>
      <c r="D65" s="21"/>
      <c r="E65" s="21"/>
      <c r="F65" s="21"/>
    </row>
  </sheetData>
  <mergeCells count="30">
    <mergeCell ref="X2:Y2"/>
    <mergeCell ref="A3:A5"/>
    <mergeCell ref="B3:B5"/>
    <mergeCell ref="C3:F3"/>
    <mergeCell ref="G3:K3"/>
    <mergeCell ref="L3:Q3"/>
    <mergeCell ref="R3:V3"/>
    <mergeCell ref="W3:Y3"/>
    <mergeCell ref="C4:D4"/>
    <mergeCell ref="H4:H5"/>
    <mergeCell ref="I4:I5"/>
    <mergeCell ref="J4:J5"/>
    <mergeCell ref="K4:K5"/>
    <mergeCell ref="B1:V1"/>
    <mergeCell ref="Y4:Y5"/>
    <mergeCell ref="B65:F65"/>
    <mergeCell ref="S4:S5"/>
    <mergeCell ref="T4:T5"/>
    <mergeCell ref="U4:U5"/>
    <mergeCell ref="V4:V5"/>
    <mergeCell ref="W4:W5"/>
    <mergeCell ref="X4:X5"/>
    <mergeCell ref="L4:L5"/>
    <mergeCell ref="M4:M5"/>
    <mergeCell ref="O4:O5"/>
    <mergeCell ref="P4:P5"/>
    <mergeCell ref="Q4:Q5"/>
    <mergeCell ref="R4:R5"/>
    <mergeCell ref="E4:F4"/>
    <mergeCell ref="G4:G5"/>
  </mergeCells>
  <pageMargins left="0.31496062992125984" right="0.11811023622047245" top="0.55118110236220474" bottom="0.74803149606299213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2014-12-11T04:57:54Z</dcterms:modified>
</cp:coreProperties>
</file>