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45" windowWidth="14805" windowHeight="777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U20" i="1" l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T9" i="1"/>
  <c r="T8" i="1"/>
  <c r="T7" i="1"/>
  <c r="T6" i="1"/>
  <c r="T20" i="1"/>
  <c r="T19" i="1"/>
  <c r="T18" i="1"/>
  <c r="T17" i="1"/>
  <c r="T16" i="1"/>
  <c r="T15" i="1"/>
  <c r="T14" i="1"/>
  <c r="T13" i="1"/>
  <c r="T12" i="1"/>
  <c r="T11" i="1"/>
  <c r="T10" i="1"/>
  <c r="S9" i="1"/>
  <c r="S8" i="1"/>
  <c r="S7" i="1"/>
  <c r="S6" i="1"/>
  <c r="S20" i="1"/>
  <c r="S19" i="1"/>
  <c r="S18" i="1"/>
  <c r="S17" i="1"/>
  <c r="S16" i="1"/>
  <c r="S15" i="1"/>
  <c r="S14" i="1"/>
  <c r="S13" i="1"/>
  <c r="S12" i="1"/>
  <c r="S11" i="1"/>
  <c r="S10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O20" i="1"/>
  <c r="O19" i="1"/>
  <c r="O18" i="1"/>
  <c r="O17" i="1"/>
  <c r="O16" i="1"/>
  <c r="O15" i="1"/>
  <c r="O14" i="1"/>
  <c r="O13" i="1"/>
  <c r="O11" i="1"/>
  <c r="O10" i="1"/>
  <c r="O9" i="1"/>
  <c r="O8" i="1"/>
  <c r="O7" i="1"/>
  <c r="O6" i="1"/>
  <c r="O12" i="1"/>
  <c r="N20" i="1"/>
  <c r="Q20" i="1" s="1"/>
  <c r="N19" i="1"/>
  <c r="N18" i="1"/>
  <c r="Q18" i="1" s="1"/>
  <c r="N17" i="1"/>
  <c r="N16" i="1"/>
  <c r="Q16" i="1" s="1"/>
  <c r="N15" i="1"/>
  <c r="N14" i="1"/>
  <c r="N13" i="1"/>
  <c r="N12" i="1"/>
  <c r="N11" i="1"/>
  <c r="N10" i="1"/>
  <c r="N9" i="1"/>
  <c r="N8" i="1"/>
  <c r="N7" i="1"/>
  <c r="N6" i="1"/>
  <c r="Q17" i="1" l="1"/>
  <c r="Q19" i="1"/>
  <c r="R21" i="1"/>
  <c r="Q12" i="1"/>
  <c r="M12" i="1"/>
  <c r="M20" i="1" l="1"/>
  <c r="Q6" i="1" l="1"/>
  <c r="Q7" i="1"/>
  <c r="Q8" i="1"/>
  <c r="Q9" i="1"/>
  <c r="Q10" i="1"/>
  <c r="Q11" i="1"/>
  <c r="Q13" i="1"/>
  <c r="Q14" i="1"/>
  <c r="M14" i="1"/>
  <c r="I8" i="1"/>
  <c r="I12" i="1" l="1"/>
  <c r="M11" i="1"/>
  <c r="I11" i="1" l="1"/>
  <c r="I14" i="1" l="1"/>
  <c r="M15" i="1" l="1"/>
  <c r="Q15" i="1"/>
  <c r="I15" i="1" l="1"/>
  <c r="M17" i="1" l="1"/>
  <c r="I17" i="1" l="1"/>
  <c r="M18" i="1" l="1"/>
  <c r="I18" i="1"/>
  <c r="N21" i="1" l="1"/>
  <c r="O21" i="1"/>
  <c r="P21" i="1"/>
  <c r="G21" i="1"/>
  <c r="H21" i="1"/>
  <c r="J21" i="1"/>
  <c r="K21" i="1"/>
  <c r="L21" i="1"/>
  <c r="F21" i="1"/>
  <c r="M19" i="1"/>
  <c r="I19" i="1"/>
  <c r="M13" i="1"/>
  <c r="I13" i="1"/>
  <c r="U21" i="1" l="1"/>
  <c r="S21" i="1"/>
  <c r="T21" i="1"/>
  <c r="Q21" i="1"/>
  <c r="M10" i="1"/>
  <c r="I10" i="1"/>
  <c r="M8" i="1" l="1"/>
  <c r="M7" i="1" l="1"/>
  <c r="E21" i="1" l="1"/>
  <c r="D21" i="1"/>
  <c r="C21" i="1"/>
  <c r="B21" i="1"/>
  <c r="I9" i="1"/>
  <c r="M9" i="1"/>
  <c r="I7" i="1" l="1"/>
  <c r="M6" i="1" l="1"/>
  <c r="M21" i="1" s="1"/>
  <c r="I6" i="1"/>
  <c r="I21" i="1" s="1"/>
</calcChain>
</file>

<file path=xl/sharedStrings.xml><?xml version="1.0" encoding="utf-8"?>
<sst xmlns="http://schemas.openxmlformats.org/spreadsheetml/2006/main" count="45" uniqueCount="32">
  <si>
    <t>АУП</t>
  </si>
  <si>
    <t>ПП</t>
  </si>
  <si>
    <t>УВП</t>
  </si>
  <si>
    <t>ВСЕГО</t>
  </si>
  <si>
    <t xml:space="preserve"> ВСЕГО</t>
  </si>
  <si>
    <t>МДОБУ 1 /Теремок/</t>
  </si>
  <si>
    <t>МДОБУ 2</t>
  </si>
  <si>
    <t>МДОБУ 3/ЛЕСНАЯ СКАЗКА/</t>
  </si>
  <si>
    <t>МДОБУ 5 /РОМАШКА/</t>
  </si>
  <si>
    <t>МДОБУ 7</t>
  </si>
  <si>
    <t>МДОБУ 8/РУЧЕЕК/</t>
  </si>
  <si>
    <t>МДОБУ 13</t>
  </si>
  <si>
    <t>МДОБУ 15 /АРАЛИЯ/</t>
  </si>
  <si>
    <t>МДОБУ 22</t>
  </si>
  <si>
    <t>МДОБУ 31</t>
  </si>
  <si>
    <t>МДОБУ 12/БЕРЕЗКА/</t>
  </si>
  <si>
    <t>МДОБУ 19 /ОЛЕНЕНОК/</t>
  </si>
  <si>
    <t>МДОБУ 33/КОЛОСОК/</t>
  </si>
  <si>
    <t>МДОБУ 29 /НАДЕЖДА/</t>
  </si>
  <si>
    <t>данные по ф.503737</t>
  </si>
  <si>
    <t>МДОБУ 30</t>
  </si>
  <si>
    <t xml:space="preserve">(тыс. рублей) </t>
  </si>
  <si>
    <t>Наименование учреждений</t>
  </si>
  <si>
    <t>воспитан-ники</t>
  </si>
  <si>
    <t>группы</t>
  </si>
  <si>
    <t xml:space="preserve">Средняя зарплата* </t>
  </si>
  <si>
    <t>Количество по состоянию на:</t>
  </si>
  <si>
    <t>Штатная численность на 01.09.2014</t>
  </si>
  <si>
    <t>Среднесписочная численность на 01.11.2014</t>
  </si>
  <si>
    <t>Начислено на 01.11.2014</t>
  </si>
  <si>
    <r>
      <t xml:space="preserve">Анализ исполнения расходов субвенций на обеспечение государственных гарантий на получение общедоступного и бесплатного дошкольного, начального общего, основного общего, среднего общего, дополнительного образования детей в </t>
    </r>
    <r>
      <rPr>
        <b/>
        <sz val="14"/>
        <color theme="1"/>
        <rFont val="Times New Roman"/>
        <family val="1"/>
        <charset val="204"/>
      </rPr>
      <t xml:space="preserve">муниципальных дошкольных образовательных учреждениях Дальнегорского городского округа                                </t>
    </r>
    <r>
      <rPr>
        <sz val="14"/>
        <color theme="1"/>
        <rFont val="Times New Roman"/>
        <family val="1"/>
        <charset val="204"/>
      </rPr>
      <t>с января по октябрь 2014 года</t>
    </r>
  </si>
  <si>
    <t>* Расчет произведен исходя из штатной численности персонала, так как  в связи с текучестью кадрового состава в расчет среднесписочной численности включены сотрудники, замещающие в расчетном периоде одни и те же должности.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</si>
</sst>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7" fillId="0" borderId="0" xfId="0" applyFont="1" applyAlignment="1"/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tabSelected="1" view="pageBreakPreview" zoomScale="80" zoomScaleNormal="46" zoomScaleSheetLayoutView="80" workbookViewId="0">
      <pane ySplit="5" topLeftCell="A9" activePane="bottomLeft" state="frozen"/>
      <selection pane="bottomLeft" activeCell="I24" sqref="I24"/>
    </sheetView>
  </sheetViews>
  <sheetFormatPr defaultRowHeight="15" x14ac:dyDescent="0.25"/>
  <cols>
    <col min="1" max="1" width="28" style="1" customWidth="1"/>
    <col min="2" max="2" width="10.7109375" style="1" customWidth="1"/>
    <col min="3" max="3" width="9.5703125" style="1" customWidth="1"/>
    <col min="4" max="4" width="12.5703125" style="1" customWidth="1"/>
    <col min="5" max="5" width="8.85546875" style="1" customWidth="1"/>
    <col min="6" max="6" width="8" style="1" customWidth="1"/>
    <col min="7" max="7" width="7.140625" style="1" customWidth="1"/>
    <col min="8" max="8" width="8.140625" style="1" customWidth="1"/>
    <col min="9" max="9" width="10.5703125" style="7" customWidth="1"/>
    <col min="10" max="10" width="8" style="7" customWidth="1"/>
    <col min="11" max="11" width="8.42578125" style="7" customWidth="1"/>
    <col min="12" max="12" width="9" style="7" customWidth="1"/>
    <col min="13" max="13" width="9.42578125" style="7" customWidth="1"/>
    <col min="14" max="14" width="11.140625" style="1" customWidth="1"/>
    <col min="15" max="15" width="11.28515625" style="1" customWidth="1"/>
    <col min="16" max="16" width="10.28515625" style="1" customWidth="1"/>
    <col min="17" max="17" width="11.140625" style="1" customWidth="1"/>
    <col min="18" max="18" width="16.5703125" style="1" hidden="1" customWidth="1"/>
    <col min="19" max="19" width="7.85546875" style="1" customWidth="1"/>
    <col min="20" max="20" width="7.42578125" style="1" customWidth="1"/>
    <col min="21" max="21" width="6.7109375" style="1" customWidth="1"/>
    <col min="22" max="16384" width="9.140625" style="1"/>
  </cols>
  <sheetData>
    <row r="1" spans="1:21" ht="63.75" customHeight="1" x14ac:dyDescent="0.3">
      <c r="A1" s="34" t="s">
        <v>30</v>
      </c>
      <c r="B1" s="35"/>
      <c r="C1" s="35"/>
      <c r="D1" s="35"/>
      <c r="E1" s="35"/>
      <c r="F1" s="35"/>
      <c r="G1" s="35"/>
      <c r="H1" s="35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ht="18.75" customHeight="1" x14ac:dyDescent="0.25">
      <c r="A2" s="2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43" t="s">
        <v>21</v>
      </c>
      <c r="T2" s="44"/>
      <c r="U2" s="44"/>
    </row>
    <row r="3" spans="1:21" ht="27.75" customHeight="1" x14ac:dyDescent="0.25">
      <c r="A3" s="31" t="s">
        <v>22</v>
      </c>
      <c r="B3" s="41" t="s">
        <v>26</v>
      </c>
      <c r="C3" s="42"/>
      <c r="D3" s="42"/>
      <c r="E3" s="29"/>
      <c r="F3" s="31" t="s">
        <v>27</v>
      </c>
      <c r="G3" s="31"/>
      <c r="H3" s="31"/>
      <c r="I3" s="31"/>
      <c r="J3" s="37" t="s">
        <v>28</v>
      </c>
      <c r="K3" s="37"/>
      <c r="L3" s="37"/>
      <c r="M3" s="37"/>
      <c r="N3" s="38" t="s">
        <v>29</v>
      </c>
      <c r="O3" s="39"/>
      <c r="P3" s="39"/>
      <c r="Q3" s="40"/>
      <c r="R3" s="24" t="s">
        <v>19</v>
      </c>
      <c r="S3" s="31" t="s">
        <v>25</v>
      </c>
      <c r="T3" s="33"/>
      <c r="U3" s="33"/>
    </row>
    <row r="4" spans="1:21" ht="27.75" customHeight="1" x14ac:dyDescent="0.25">
      <c r="A4" s="31"/>
      <c r="B4" s="28">
        <v>41640</v>
      </c>
      <c r="C4" s="29"/>
      <c r="D4" s="28">
        <v>41944</v>
      </c>
      <c r="E4" s="29"/>
      <c r="F4" s="24" t="s">
        <v>0</v>
      </c>
      <c r="G4" s="24" t="s">
        <v>1</v>
      </c>
      <c r="H4" s="24" t="s">
        <v>2</v>
      </c>
      <c r="I4" s="24" t="s">
        <v>3</v>
      </c>
      <c r="J4" s="24" t="s">
        <v>0</v>
      </c>
      <c r="K4" s="24" t="s">
        <v>1</v>
      </c>
      <c r="L4" s="24" t="s">
        <v>2</v>
      </c>
      <c r="M4" s="24" t="s">
        <v>4</v>
      </c>
      <c r="N4" s="24" t="s">
        <v>0</v>
      </c>
      <c r="O4" s="24" t="s">
        <v>1</v>
      </c>
      <c r="P4" s="24" t="s">
        <v>2</v>
      </c>
      <c r="Q4" s="24" t="s">
        <v>3</v>
      </c>
      <c r="R4" s="30"/>
      <c r="S4" s="24" t="s">
        <v>0</v>
      </c>
      <c r="T4" s="24" t="s">
        <v>1</v>
      </c>
      <c r="U4" s="24" t="s">
        <v>2</v>
      </c>
    </row>
    <row r="5" spans="1:21" ht="32.25" customHeight="1" x14ac:dyDescent="0.25">
      <c r="A5" s="32"/>
      <c r="B5" s="4" t="s">
        <v>23</v>
      </c>
      <c r="C5" s="4" t="s">
        <v>24</v>
      </c>
      <c r="D5" s="4" t="s">
        <v>23</v>
      </c>
      <c r="E5" s="4" t="s">
        <v>24</v>
      </c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3"/>
      <c r="S5" s="25"/>
      <c r="T5" s="25"/>
      <c r="U5" s="25"/>
    </row>
    <row r="6" spans="1:21" s="7" customFormat="1" ht="32.25" customHeight="1" x14ac:dyDescent="0.25">
      <c r="A6" s="4" t="s">
        <v>5</v>
      </c>
      <c r="B6" s="4">
        <v>101</v>
      </c>
      <c r="C6" s="4">
        <v>5</v>
      </c>
      <c r="D6" s="4">
        <v>96</v>
      </c>
      <c r="E6" s="4">
        <v>5</v>
      </c>
      <c r="F6" s="4">
        <v>2</v>
      </c>
      <c r="G6" s="4">
        <v>11.5</v>
      </c>
      <c r="H6" s="4">
        <v>8.5</v>
      </c>
      <c r="I6" s="4">
        <f t="shared" ref="I6:I15" si="0">SUM(F6:H6)</f>
        <v>22</v>
      </c>
      <c r="J6" s="4">
        <v>1.8</v>
      </c>
      <c r="K6" s="4">
        <v>11.7</v>
      </c>
      <c r="L6" s="4">
        <v>10.3</v>
      </c>
      <c r="M6" s="4">
        <f t="shared" ref="M6:M15" si="1">SUM(J6:L6)</f>
        <v>23.8</v>
      </c>
      <c r="N6" s="5">
        <f>539200.62/1000</f>
        <v>539.20061999999996</v>
      </c>
      <c r="O6" s="5">
        <f>2764243.7/1000</f>
        <v>2764.2437</v>
      </c>
      <c r="P6" s="5">
        <f>936343.24/1000</f>
        <v>936.34324000000004</v>
      </c>
      <c r="Q6" s="6">
        <f t="shared" ref="Q6:Q20" si="2">SUM(N6:P6)</f>
        <v>4239.7875599999998</v>
      </c>
      <c r="R6" s="6">
        <f>5204467.64/1000</f>
        <v>5204.4676399999998</v>
      </c>
      <c r="S6" s="6">
        <f>29955/1000</f>
        <v>29.954999999999998</v>
      </c>
      <c r="T6" s="6">
        <f>23625/1000</f>
        <v>23.625</v>
      </c>
      <c r="U6" s="6">
        <f>9090/1000</f>
        <v>9.09</v>
      </c>
    </row>
    <row r="7" spans="1:21" s="7" customFormat="1" ht="29.25" customHeight="1" x14ac:dyDescent="0.25">
      <c r="A7" s="4" t="s">
        <v>6</v>
      </c>
      <c r="B7" s="4">
        <v>232</v>
      </c>
      <c r="C7" s="4">
        <v>11</v>
      </c>
      <c r="D7" s="4">
        <v>218</v>
      </c>
      <c r="E7" s="4">
        <v>11</v>
      </c>
      <c r="F7" s="4">
        <v>4</v>
      </c>
      <c r="G7" s="4">
        <v>26</v>
      </c>
      <c r="H7" s="4">
        <v>20.25</v>
      </c>
      <c r="I7" s="4">
        <f t="shared" si="0"/>
        <v>50.25</v>
      </c>
      <c r="J7" s="8">
        <v>4.2</v>
      </c>
      <c r="K7" s="4">
        <v>23.5</v>
      </c>
      <c r="L7" s="4">
        <v>22.4</v>
      </c>
      <c r="M7" s="4">
        <f t="shared" si="1"/>
        <v>50.099999999999994</v>
      </c>
      <c r="N7" s="6">
        <f>1023374.47/1000</f>
        <v>1023.37447</v>
      </c>
      <c r="O7" s="6">
        <f>5575098.38/1000</f>
        <v>5575.0983799999995</v>
      </c>
      <c r="P7" s="6">
        <f>1934510.69/1000</f>
        <v>1934.5106899999998</v>
      </c>
      <c r="Q7" s="6">
        <f t="shared" si="2"/>
        <v>8532.9835399999993</v>
      </c>
      <c r="R7" s="6">
        <f>10105379.66/1000</f>
        <v>10105.379660000001</v>
      </c>
      <c r="S7" s="6">
        <f>24366/1000</f>
        <v>24.366</v>
      </c>
      <c r="T7" s="6">
        <f>23724/1000</f>
        <v>23.724</v>
      </c>
      <c r="U7" s="5">
        <f>8636/1000</f>
        <v>8.6359999999999992</v>
      </c>
    </row>
    <row r="8" spans="1:21" s="7" customFormat="1" ht="46.5" customHeight="1" x14ac:dyDescent="0.25">
      <c r="A8" s="4" t="s">
        <v>7</v>
      </c>
      <c r="B8" s="4">
        <v>71</v>
      </c>
      <c r="C8" s="4">
        <v>4</v>
      </c>
      <c r="D8" s="4">
        <v>58</v>
      </c>
      <c r="E8" s="4">
        <v>3</v>
      </c>
      <c r="F8" s="9">
        <v>2</v>
      </c>
      <c r="G8" s="9">
        <v>9.5</v>
      </c>
      <c r="H8" s="9">
        <v>9.75</v>
      </c>
      <c r="I8" s="9">
        <f t="shared" si="0"/>
        <v>21.25</v>
      </c>
      <c r="J8" s="4">
        <v>2.5</v>
      </c>
      <c r="K8" s="4">
        <v>10.8</v>
      </c>
      <c r="L8" s="4">
        <v>8.1999999999999993</v>
      </c>
      <c r="M8" s="4">
        <f t="shared" si="1"/>
        <v>21.5</v>
      </c>
      <c r="N8" s="6">
        <f>829756.08/1000</f>
        <v>829.75608</v>
      </c>
      <c r="O8" s="6">
        <f>2901451.66/1000</f>
        <v>2901.4516600000002</v>
      </c>
      <c r="P8" s="6">
        <f>746774.39/1000</f>
        <v>746.77439000000004</v>
      </c>
      <c r="Q8" s="6">
        <f t="shared" si="2"/>
        <v>4477.9821300000003</v>
      </c>
      <c r="R8" s="6">
        <f>5484154.18/1000</f>
        <v>5484.1541799999995</v>
      </c>
      <c r="S8" s="6">
        <f>33190/1000</f>
        <v>33.19</v>
      </c>
      <c r="T8" s="6">
        <f>27839/1000</f>
        <v>27.838999999999999</v>
      </c>
      <c r="U8" s="5">
        <f>9988/1000</f>
        <v>9.9879999999999995</v>
      </c>
    </row>
    <row r="9" spans="1:21" s="7" customFormat="1" ht="25.5" customHeight="1" x14ac:dyDescent="0.25">
      <c r="A9" s="4" t="s">
        <v>8</v>
      </c>
      <c r="B9" s="4">
        <v>100</v>
      </c>
      <c r="C9" s="4">
        <v>6</v>
      </c>
      <c r="D9" s="4">
        <v>98</v>
      </c>
      <c r="E9" s="4">
        <v>6</v>
      </c>
      <c r="F9" s="4">
        <v>2.5</v>
      </c>
      <c r="G9" s="4">
        <v>14.25</v>
      </c>
      <c r="H9" s="4">
        <v>11.5</v>
      </c>
      <c r="I9" s="4">
        <f t="shared" si="0"/>
        <v>28.25</v>
      </c>
      <c r="J9" s="4">
        <v>2.6</v>
      </c>
      <c r="K9" s="4">
        <v>16.5</v>
      </c>
      <c r="L9" s="4">
        <v>10.199999999999999</v>
      </c>
      <c r="M9" s="4">
        <f t="shared" si="1"/>
        <v>29.3</v>
      </c>
      <c r="N9" s="6">
        <f>671856.78/1000</f>
        <v>671.85678000000007</v>
      </c>
      <c r="O9" s="6">
        <f>4863807.65/1000</f>
        <v>4863.8076500000006</v>
      </c>
      <c r="P9" s="6">
        <f>1073122.1/1000</f>
        <v>1073.1221</v>
      </c>
      <c r="Q9" s="6">
        <f t="shared" si="2"/>
        <v>6608.7865300000012</v>
      </c>
      <c r="R9" s="6">
        <f>7898116.55/1000</f>
        <v>7898.1165499999997</v>
      </c>
      <c r="S9" s="6">
        <f>25840/1000</f>
        <v>25.84</v>
      </c>
      <c r="T9" s="6">
        <f>29477/1000</f>
        <v>29.477</v>
      </c>
      <c r="U9" s="5">
        <f>10520/1000</f>
        <v>10.52</v>
      </c>
    </row>
    <row r="10" spans="1:21" ht="24" customHeight="1" x14ac:dyDescent="0.25">
      <c r="A10" s="10" t="s">
        <v>9</v>
      </c>
      <c r="B10" s="4">
        <v>52</v>
      </c>
      <c r="C10" s="4">
        <v>3</v>
      </c>
      <c r="D10" s="4">
        <v>50</v>
      </c>
      <c r="E10" s="4">
        <v>3</v>
      </c>
      <c r="F10" s="10">
        <v>2</v>
      </c>
      <c r="G10" s="10">
        <v>7</v>
      </c>
      <c r="H10" s="4">
        <v>5.5</v>
      </c>
      <c r="I10" s="4">
        <f t="shared" si="0"/>
        <v>14.5</v>
      </c>
      <c r="J10" s="4">
        <v>1</v>
      </c>
      <c r="K10" s="4">
        <v>7</v>
      </c>
      <c r="L10" s="8">
        <v>6.7</v>
      </c>
      <c r="M10" s="4">
        <f t="shared" si="1"/>
        <v>14.7</v>
      </c>
      <c r="N10" s="11">
        <f>251510.06/1000</f>
        <v>251.51006000000001</v>
      </c>
      <c r="O10" s="11">
        <f>1892301.88/1000</f>
        <v>1892.30188</v>
      </c>
      <c r="P10" s="11">
        <f>596800.98/1000</f>
        <v>596.80097999999998</v>
      </c>
      <c r="Q10" s="6">
        <f t="shared" si="2"/>
        <v>2740.61292</v>
      </c>
      <c r="R10" s="6">
        <f>3623805.28/1000</f>
        <v>3623.8052799999996</v>
      </c>
      <c r="S10" s="11">
        <f>25151/1000</f>
        <v>25.151</v>
      </c>
      <c r="T10" s="11">
        <f>27032/1000</f>
        <v>27.032</v>
      </c>
      <c r="U10" s="12">
        <f>8907/1000</f>
        <v>8.907</v>
      </c>
    </row>
    <row r="11" spans="1:21" s="7" customFormat="1" ht="28.5" customHeight="1" x14ac:dyDescent="0.25">
      <c r="A11" s="4" t="s">
        <v>10</v>
      </c>
      <c r="B11" s="4">
        <v>126</v>
      </c>
      <c r="C11" s="13">
        <v>9</v>
      </c>
      <c r="D11" s="4">
        <v>117</v>
      </c>
      <c r="E11" s="4">
        <v>9</v>
      </c>
      <c r="F11" s="4">
        <v>4</v>
      </c>
      <c r="G11" s="4">
        <v>24</v>
      </c>
      <c r="H11" s="4">
        <v>16</v>
      </c>
      <c r="I11" s="4">
        <f t="shared" si="0"/>
        <v>44</v>
      </c>
      <c r="J11" s="4">
        <v>4.2</v>
      </c>
      <c r="K11" s="4">
        <v>35.4</v>
      </c>
      <c r="L11" s="4">
        <v>19.600000000000001</v>
      </c>
      <c r="M11" s="4">
        <f t="shared" si="1"/>
        <v>59.2</v>
      </c>
      <c r="N11" s="6">
        <f>1179718.48/1000</f>
        <v>1179.71848</v>
      </c>
      <c r="O11" s="6">
        <f>9901937.87/1000</f>
        <v>9901.9378699999997</v>
      </c>
      <c r="P11" s="6">
        <f>1861807.76/1000</f>
        <v>1861.8077599999999</v>
      </c>
      <c r="Q11" s="6">
        <f t="shared" si="2"/>
        <v>12943.464109999999</v>
      </c>
      <c r="R11" s="6">
        <f>14243446.73/1000</f>
        <v>14243.44673</v>
      </c>
      <c r="S11" s="14">
        <f>28088/1000</f>
        <v>28.088000000000001</v>
      </c>
      <c r="T11" s="14">
        <f>27971/1000</f>
        <v>27.971</v>
      </c>
      <c r="U11" s="14">
        <f>9498/1000</f>
        <v>9.4979999999999993</v>
      </c>
    </row>
    <row r="12" spans="1:21" s="7" customFormat="1" ht="27.75" customHeight="1" x14ac:dyDescent="0.25">
      <c r="A12" s="4" t="s">
        <v>15</v>
      </c>
      <c r="B12" s="4">
        <v>73</v>
      </c>
      <c r="C12" s="4">
        <v>4</v>
      </c>
      <c r="D12" s="4">
        <v>73</v>
      </c>
      <c r="E12" s="4">
        <v>4</v>
      </c>
      <c r="F12" s="4">
        <v>2</v>
      </c>
      <c r="G12" s="4">
        <v>10</v>
      </c>
      <c r="H12" s="4">
        <v>17.5</v>
      </c>
      <c r="I12" s="4">
        <f t="shared" si="0"/>
        <v>29.5</v>
      </c>
      <c r="J12" s="4">
        <v>2.7</v>
      </c>
      <c r="K12" s="4">
        <v>9.1</v>
      </c>
      <c r="L12" s="4">
        <v>7.4</v>
      </c>
      <c r="M12" s="4">
        <f t="shared" si="1"/>
        <v>19.200000000000003</v>
      </c>
      <c r="N12" s="6">
        <f>656604.68/1000</f>
        <v>656.60468000000003</v>
      </c>
      <c r="O12" s="6">
        <f>2567463.77/1000</f>
        <v>2567.4637699999998</v>
      </c>
      <c r="P12" s="6">
        <f>805622.34/1000</f>
        <v>805.62234000000001</v>
      </c>
      <c r="Q12" s="6">
        <f t="shared" si="2"/>
        <v>4029.6907899999997</v>
      </c>
      <c r="R12" s="6">
        <f>4919378.67/1000</f>
        <v>4919.3786700000001</v>
      </c>
      <c r="S12" s="14">
        <f>24319/1000</f>
        <v>24.318999999999999</v>
      </c>
      <c r="T12" s="14">
        <f>28213/1000</f>
        <v>28.213000000000001</v>
      </c>
      <c r="U12" s="14">
        <f>10886/1000</f>
        <v>10.885999999999999</v>
      </c>
    </row>
    <row r="13" spans="1:21" s="7" customFormat="1" ht="25.5" customHeight="1" x14ac:dyDescent="0.25">
      <c r="A13" s="4" t="s">
        <v>11</v>
      </c>
      <c r="B13" s="4">
        <v>135</v>
      </c>
      <c r="C13" s="4">
        <v>6</v>
      </c>
      <c r="D13" s="4">
        <v>137</v>
      </c>
      <c r="E13" s="4">
        <v>6</v>
      </c>
      <c r="F13" s="4">
        <v>3</v>
      </c>
      <c r="G13" s="4">
        <v>14.25</v>
      </c>
      <c r="H13" s="4">
        <v>11.5</v>
      </c>
      <c r="I13" s="4">
        <f t="shared" si="0"/>
        <v>28.75</v>
      </c>
      <c r="J13" s="4">
        <v>2.2999999999999998</v>
      </c>
      <c r="K13" s="4">
        <v>14</v>
      </c>
      <c r="L13" s="4">
        <v>10</v>
      </c>
      <c r="M13" s="4">
        <f t="shared" si="1"/>
        <v>26.3</v>
      </c>
      <c r="N13" s="6">
        <f>487685.87/1000</f>
        <v>487.68587000000002</v>
      </c>
      <c r="O13" s="6">
        <f>3681795.09/1000</f>
        <v>3681.7950900000001</v>
      </c>
      <c r="P13" s="6">
        <f>1115890.71/1000</f>
        <v>1115.8907099999999</v>
      </c>
      <c r="Q13" s="6">
        <f t="shared" si="2"/>
        <v>5285.3716699999995</v>
      </c>
      <c r="R13" s="6">
        <f>6621667.84/1000</f>
        <v>6621.6678400000001</v>
      </c>
      <c r="S13" s="6">
        <f>21203/1000</f>
        <v>21.202999999999999</v>
      </c>
      <c r="T13" s="6">
        <f>26298/1000</f>
        <v>26.297999999999998</v>
      </c>
      <c r="U13" s="5">
        <f>11158/1000</f>
        <v>11.157999999999999</v>
      </c>
    </row>
    <row r="14" spans="1:21" s="7" customFormat="1" ht="29.25" customHeight="1" x14ac:dyDescent="0.25">
      <c r="A14" s="4" t="s">
        <v>12</v>
      </c>
      <c r="B14" s="4">
        <v>88</v>
      </c>
      <c r="C14" s="4">
        <v>4</v>
      </c>
      <c r="D14" s="4">
        <v>89</v>
      </c>
      <c r="E14" s="4">
        <v>4</v>
      </c>
      <c r="F14" s="4">
        <v>2</v>
      </c>
      <c r="G14" s="4">
        <v>10</v>
      </c>
      <c r="H14" s="4">
        <v>8</v>
      </c>
      <c r="I14" s="4">
        <f t="shared" si="0"/>
        <v>20</v>
      </c>
      <c r="J14" s="4">
        <v>2.1</v>
      </c>
      <c r="K14" s="4">
        <v>9</v>
      </c>
      <c r="L14" s="4">
        <v>9.1999999999999993</v>
      </c>
      <c r="M14" s="4">
        <f t="shared" si="1"/>
        <v>20.299999999999997</v>
      </c>
      <c r="N14" s="6">
        <f>555996.86/1000</f>
        <v>555.99685999999997</v>
      </c>
      <c r="O14" s="15">
        <f>2080411.98/1000</f>
        <v>2080.4119799999999</v>
      </c>
      <c r="P14" s="6">
        <f>957106.82/1000</f>
        <v>957.10681999999997</v>
      </c>
      <c r="Q14" s="6">
        <f t="shared" si="2"/>
        <v>3593.51566</v>
      </c>
      <c r="R14" s="6">
        <f>4634611.83/1000</f>
        <v>4634.6118299999998</v>
      </c>
      <c r="S14" s="6">
        <f>26475/1000</f>
        <v>26.475000000000001</v>
      </c>
      <c r="T14" s="6">
        <f>23115/1000</f>
        <v>23.114999999999998</v>
      </c>
      <c r="U14" s="5">
        <f>10403/1000</f>
        <v>10.403</v>
      </c>
    </row>
    <row r="15" spans="1:21" s="7" customFormat="1" ht="30" customHeight="1" x14ac:dyDescent="0.25">
      <c r="A15" s="4" t="s">
        <v>16</v>
      </c>
      <c r="B15" s="4">
        <v>192</v>
      </c>
      <c r="C15" s="4">
        <v>9</v>
      </c>
      <c r="D15" s="4">
        <v>201</v>
      </c>
      <c r="E15" s="4">
        <v>9</v>
      </c>
      <c r="F15" s="4">
        <v>4</v>
      </c>
      <c r="G15" s="4">
        <v>24</v>
      </c>
      <c r="H15" s="4">
        <v>18.5</v>
      </c>
      <c r="I15" s="4">
        <f t="shared" si="0"/>
        <v>46.5</v>
      </c>
      <c r="J15" s="4">
        <v>3.9</v>
      </c>
      <c r="K15" s="4">
        <v>21.3</v>
      </c>
      <c r="L15" s="4">
        <v>17.5</v>
      </c>
      <c r="M15" s="4">
        <f t="shared" si="1"/>
        <v>42.7</v>
      </c>
      <c r="N15" s="6">
        <f>963434.53/1000</f>
        <v>963.43453</v>
      </c>
      <c r="O15" s="6">
        <f>4916001.33/1000</f>
        <v>4916.0013300000001</v>
      </c>
      <c r="P15" s="6">
        <f>1501645.35/1000</f>
        <v>1501.64535</v>
      </c>
      <c r="Q15" s="6">
        <f t="shared" si="2"/>
        <v>7381.0812099999994</v>
      </c>
      <c r="R15" s="6">
        <f>8826926.13/1000</f>
        <v>8826.9261300000016</v>
      </c>
      <c r="S15" s="6">
        <f>24703/1000</f>
        <v>24.702999999999999</v>
      </c>
      <c r="T15" s="6">
        <f>23079/1000</f>
        <v>23.079000000000001</v>
      </c>
      <c r="U15" s="5">
        <f>8580/1000</f>
        <v>8.58</v>
      </c>
    </row>
    <row r="16" spans="1:21" ht="30" customHeight="1" x14ac:dyDescent="0.25">
      <c r="A16" s="10" t="s">
        <v>13</v>
      </c>
      <c r="B16" s="4">
        <v>187</v>
      </c>
      <c r="C16" s="4">
        <v>9</v>
      </c>
      <c r="D16" s="4">
        <v>194</v>
      </c>
      <c r="E16" s="4">
        <v>9</v>
      </c>
      <c r="F16" s="10">
        <v>4</v>
      </c>
      <c r="G16" s="10">
        <v>23.25</v>
      </c>
      <c r="H16" s="10">
        <v>18.25</v>
      </c>
      <c r="I16" s="4">
        <v>64.8</v>
      </c>
      <c r="J16" s="4">
        <v>4.2</v>
      </c>
      <c r="K16" s="4">
        <v>21.9</v>
      </c>
      <c r="L16" s="4">
        <v>19.399999999999999</v>
      </c>
      <c r="M16" s="4">
        <v>65.5</v>
      </c>
      <c r="N16" s="11">
        <f>897481.77/1000</f>
        <v>897.48176999999998</v>
      </c>
      <c r="O16" s="11">
        <f>4870594.48/1000</f>
        <v>4870.5944800000007</v>
      </c>
      <c r="P16" s="11">
        <f>1631709.88/1000</f>
        <v>1631.7098799999999</v>
      </c>
      <c r="Q16" s="6">
        <f t="shared" si="2"/>
        <v>7399.7861300000004</v>
      </c>
      <c r="R16" s="6">
        <f>9015268.14/1000</f>
        <v>9015.2681400000001</v>
      </c>
      <c r="S16" s="11">
        <f>21369/1000</f>
        <v>21.369</v>
      </c>
      <c r="T16" s="11">
        <f>22240/1000</f>
        <v>22.24</v>
      </c>
      <c r="U16" s="12">
        <f>8410/1000</f>
        <v>8.41</v>
      </c>
    </row>
    <row r="17" spans="1:21" s="7" customFormat="1" ht="29.25" customHeight="1" x14ac:dyDescent="0.25">
      <c r="A17" s="4" t="s">
        <v>18</v>
      </c>
      <c r="B17" s="4">
        <v>238</v>
      </c>
      <c r="C17" s="4">
        <v>10</v>
      </c>
      <c r="D17" s="4">
        <v>237</v>
      </c>
      <c r="E17" s="4">
        <v>10</v>
      </c>
      <c r="F17" s="4">
        <v>4</v>
      </c>
      <c r="G17" s="4">
        <v>26.75</v>
      </c>
      <c r="H17" s="4">
        <v>20</v>
      </c>
      <c r="I17" s="4">
        <f>SUM(F17:H17)</f>
        <v>50.75</v>
      </c>
      <c r="J17" s="4">
        <v>4.3</v>
      </c>
      <c r="K17" s="4">
        <v>29.9</v>
      </c>
      <c r="L17" s="4">
        <v>21.7</v>
      </c>
      <c r="M17" s="4">
        <f>SUM(J17:L17)</f>
        <v>55.899999999999991</v>
      </c>
      <c r="N17" s="6">
        <f>1073770.44/1000</f>
        <v>1073.77044</v>
      </c>
      <c r="O17" s="6">
        <f>6735712.35/1000</f>
        <v>6735.7123499999998</v>
      </c>
      <c r="P17" s="6">
        <f>1820115.61/1000</f>
        <v>1820.1156100000001</v>
      </c>
      <c r="Q17" s="6">
        <f t="shared" si="2"/>
        <v>9629.5984000000008</v>
      </c>
      <c r="R17" s="6">
        <f>10819767.1/1000</f>
        <v>10819.767099999999</v>
      </c>
      <c r="S17" s="6">
        <f>24971/1000</f>
        <v>24.971</v>
      </c>
      <c r="T17" s="6">
        <f>22527/1000</f>
        <v>22.527000000000001</v>
      </c>
      <c r="U17" s="5">
        <f>8387/1000</f>
        <v>8.3870000000000005</v>
      </c>
    </row>
    <row r="18" spans="1:21" s="7" customFormat="1" ht="27" customHeight="1" x14ac:dyDescent="0.25">
      <c r="A18" s="4" t="s">
        <v>20</v>
      </c>
      <c r="B18" s="4">
        <v>227</v>
      </c>
      <c r="C18" s="4">
        <v>10</v>
      </c>
      <c r="D18" s="4">
        <v>208</v>
      </c>
      <c r="E18" s="4">
        <v>10</v>
      </c>
      <c r="F18" s="4">
        <v>4</v>
      </c>
      <c r="G18" s="4">
        <v>23</v>
      </c>
      <c r="H18" s="4">
        <v>19</v>
      </c>
      <c r="I18" s="4">
        <f>SUM(F18:H18)</f>
        <v>46</v>
      </c>
      <c r="J18" s="4">
        <v>4.3</v>
      </c>
      <c r="K18" s="4">
        <v>25</v>
      </c>
      <c r="L18" s="4">
        <v>15.9</v>
      </c>
      <c r="M18" s="4">
        <f>SUM(J18:L18)</f>
        <v>45.2</v>
      </c>
      <c r="N18" s="6">
        <f>1166363.89/1000</f>
        <v>1166.3638899999999</v>
      </c>
      <c r="O18" s="6">
        <f>6094646.5/1000</f>
        <v>6094.6464999999998</v>
      </c>
      <c r="P18" s="6">
        <f>1632901.39/1000</f>
        <v>1632.90139</v>
      </c>
      <c r="Q18" s="6">
        <f t="shared" si="2"/>
        <v>8893.9117799999985</v>
      </c>
      <c r="R18" s="6">
        <f>10967847.55/1000</f>
        <v>10967.84755</v>
      </c>
      <c r="S18" s="6">
        <f>27124/1000</f>
        <v>27.123999999999999</v>
      </c>
      <c r="T18" s="6">
        <f>24378/1000</f>
        <v>24.378</v>
      </c>
      <c r="U18" s="5">
        <f>10269/1000</f>
        <v>10.269</v>
      </c>
    </row>
    <row r="19" spans="1:21" s="7" customFormat="1" ht="27.75" customHeight="1" x14ac:dyDescent="0.25">
      <c r="A19" s="4" t="s">
        <v>14</v>
      </c>
      <c r="B19" s="4">
        <v>181</v>
      </c>
      <c r="C19" s="4">
        <v>8</v>
      </c>
      <c r="D19" s="4">
        <v>220</v>
      </c>
      <c r="E19" s="4">
        <v>9</v>
      </c>
      <c r="F19" s="4">
        <v>3</v>
      </c>
      <c r="G19" s="4">
        <v>23.5</v>
      </c>
      <c r="H19" s="4">
        <v>17</v>
      </c>
      <c r="I19" s="4">
        <f>SUM(F19:H19)</f>
        <v>43.5</v>
      </c>
      <c r="J19" s="4">
        <v>3</v>
      </c>
      <c r="K19" s="4">
        <v>24</v>
      </c>
      <c r="L19" s="4">
        <v>13.4</v>
      </c>
      <c r="M19" s="4">
        <f>SUM(J19:L19)</f>
        <v>40.4</v>
      </c>
      <c r="N19" s="6">
        <f>674768.57/1000</f>
        <v>674.76856999999995</v>
      </c>
      <c r="O19" s="6">
        <f>5363457.52/1000</f>
        <v>5363.4575199999999</v>
      </c>
      <c r="P19" s="6">
        <f>1425961.69/1000</f>
        <v>1425.9616899999999</v>
      </c>
      <c r="Q19" s="6">
        <f t="shared" si="2"/>
        <v>7464.1877800000002</v>
      </c>
      <c r="R19" s="6">
        <f>8904460.35/1000</f>
        <v>8904.4603499999994</v>
      </c>
      <c r="S19" s="6">
        <f>22492/1000</f>
        <v>22.492000000000001</v>
      </c>
      <c r="T19" s="6">
        <f>22347/1000</f>
        <v>22.347000000000001</v>
      </c>
      <c r="U19" s="5">
        <f>10641/1000</f>
        <v>10.641</v>
      </c>
    </row>
    <row r="20" spans="1:21" s="7" customFormat="1" ht="29.25" customHeight="1" x14ac:dyDescent="0.25">
      <c r="A20" s="4" t="s">
        <v>17</v>
      </c>
      <c r="B20" s="4">
        <v>220</v>
      </c>
      <c r="C20" s="4">
        <v>10</v>
      </c>
      <c r="D20" s="4">
        <v>207</v>
      </c>
      <c r="E20" s="4">
        <v>10</v>
      </c>
      <c r="F20" s="9">
        <v>4</v>
      </c>
      <c r="G20" s="9">
        <v>23.25</v>
      </c>
      <c r="H20" s="16">
        <v>17.5</v>
      </c>
      <c r="I20" s="4">
        <v>65.8</v>
      </c>
      <c r="J20" s="8">
        <v>3.4</v>
      </c>
      <c r="K20" s="4">
        <v>22.8</v>
      </c>
      <c r="L20" s="4">
        <v>20.6</v>
      </c>
      <c r="M20" s="4">
        <f>SUM(J20:L20)</f>
        <v>46.8</v>
      </c>
      <c r="N20" s="6">
        <f>725823.2/1000</f>
        <v>725.82319999999993</v>
      </c>
      <c r="O20" s="6">
        <f>5946382.51/1000</f>
        <v>5946.3825099999995</v>
      </c>
      <c r="P20" s="6">
        <f>2145963.79/1000</f>
        <v>2145.9637900000002</v>
      </c>
      <c r="Q20" s="6">
        <f t="shared" si="2"/>
        <v>8818.1695</v>
      </c>
      <c r="R20" s="6">
        <f>10388203.52/1000</f>
        <v>10388.203519999999</v>
      </c>
      <c r="S20" s="6">
        <f>21347/1000</f>
        <v>21.347000000000001</v>
      </c>
      <c r="T20" s="6">
        <f>26080/1000</f>
        <v>26.08</v>
      </c>
      <c r="U20" s="5">
        <f>10417/1000</f>
        <v>10.417</v>
      </c>
    </row>
    <row r="21" spans="1:21" ht="30.75" customHeight="1" x14ac:dyDescent="0.25">
      <c r="A21" s="17" t="s">
        <v>3</v>
      </c>
      <c r="B21" s="18">
        <f t="shared" ref="B21:P21" si="3">SUM(B6:B20)</f>
        <v>2223</v>
      </c>
      <c r="C21" s="18">
        <f t="shared" si="3"/>
        <v>108</v>
      </c>
      <c r="D21" s="18">
        <f t="shared" si="3"/>
        <v>2203</v>
      </c>
      <c r="E21" s="18">
        <f t="shared" si="3"/>
        <v>108</v>
      </c>
      <c r="F21" s="17">
        <f t="shared" si="3"/>
        <v>46.5</v>
      </c>
      <c r="G21" s="17">
        <f t="shared" si="3"/>
        <v>270.25</v>
      </c>
      <c r="H21" s="17">
        <f t="shared" si="3"/>
        <v>218.75</v>
      </c>
      <c r="I21" s="18">
        <f t="shared" si="3"/>
        <v>575.85</v>
      </c>
      <c r="J21" s="18">
        <f t="shared" si="3"/>
        <v>46.499999999999993</v>
      </c>
      <c r="K21" s="18">
        <f t="shared" si="3"/>
        <v>281.90000000000003</v>
      </c>
      <c r="L21" s="18">
        <f t="shared" si="3"/>
        <v>212.5</v>
      </c>
      <c r="M21" s="18">
        <f t="shared" si="3"/>
        <v>560.89999999999986</v>
      </c>
      <c r="N21" s="19">
        <f t="shared" si="3"/>
        <v>11697.346300000003</v>
      </c>
      <c r="O21" s="19">
        <f t="shared" si="3"/>
        <v>70155.306669999991</v>
      </c>
      <c r="P21" s="19">
        <f t="shared" si="3"/>
        <v>20186.276740000001</v>
      </c>
      <c r="Q21" s="19">
        <f>Q6+Q7+Q8+Q9+Q10+Q11+Q12+Q13+Q14+Q15+Q16+Q17+Q18+Q19+Q20</f>
        <v>102038.92970999998</v>
      </c>
      <c r="R21" s="19">
        <f>SUM(R6:R20)</f>
        <v>121657.50116999999</v>
      </c>
      <c r="S21" s="19">
        <f>N21/F21/10</f>
        <v>25.155583440860219</v>
      </c>
      <c r="T21" s="19">
        <f>O21/G21/10</f>
        <v>25.959410423681771</v>
      </c>
      <c r="U21" s="19">
        <f>P21/H21/10</f>
        <v>9.2280122240000004</v>
      </c>
    </row>
    <row r="22" spans="1:21" x14ac:dyDescent="0.25">
      <c r="A22" s="20"/>
      <c r="B22" s="20"/>
      <c r="C22" s="20"/>
      <c r="D22" s="20"/>
      <c r="E22" s="20"/>
      <c r="F22" s="20"/>
      <c r="G22" s="20"/>
      <c r="H22" s="20"/>
      <c r="I22" s="21"/>
      <c r="J22" s="21"/>
      <c r="K22" s="21"/>
      <c r="L22" s="21"/>
      <c r="M22" s="21"/>
      <c r="N22" s="20"/>
      <c r="O22" s="20"/>
      <c r="P22" s="20"/>
      <c r="Q22" s="20"/>
      <c r="R22" s="20"/>
      <c r="S22" s="20"/>
      <c r="T22" s="20"/>
    </row>
    <row r="23" spans="1:21" x14ac:dyDescent="0.25">
      <c r="A23" s="20"/>
      <c r="B23" s="20"/>
      <c r="C23" s="20"/>
      <c r="D23" s="20"/>
      <c r="E23" s="20"/>
      <c r="F23" s="20"/>
      <c r="G23" s="20"/>
      <c r="H23" s="20"/>
      <c r="I23" s="21"/>
      <c r="J23" s="21"/>
      <c r="K23" s="21"/>
      <c r="L23" s="21"/>
      <c r="M23" s="21"/>
      <c r="N23" s="20"/>
      <c r="O23" s="20"/>
      <c r="P23" s="20"/>
      <c r="Q23" s="20"/>
      <c r="R23" s="20"/>
      <c r="S23" s="20"/>
      <c r="T23" s="20"/>
    </row>
    <row r="24" spans="1:21" ht="63" customHeight="1" x14ac:dyDescent="0.25">
      <c r="A24" s="26" t="s">
        <v>31</v>
      </c>
      <c r="B24" s="27"/>
      <c r="C24" s="27"/>
      <c r="D24" s="27"/>
      <c r="E24" s="27"/>
      <c r="F24" s="20"/>
      <c r="G24" s="20"/>
      <c r="H24" s="20"/>
      <c r="I24" s="21"/>
      <c r="J24" s="21"/>
      <c r="K24" s="21"/>
      <c r="L24" s="21"/>
      <c r="M24" s="21"/>
      <c r="N24" s="20"/>
      <c r="O24" s="20"/>
      <c r="P24" s="20"/>
      <c r="Q24" s="20"/>
      <c r="R24" s="20"/>
      <c r="S24" s="20"/>
      <c r="T24" s="20"/>
    </row>
  </sheetData>
  <mergeCells count="27">
    <mergeCell ref="A1:U1"/>
    <mergeCell ref="F3:I3"/>
    <mergeCell ref="J3:M3"/>
    <mergeCell ref="N3:Q3"/>
    <mergeCell ref="B3:E3"/>
    <mergeCell ref="S2:U2"/>
    <mergeCell ref="L4:L5"/>
    <mergeCell ref="M4:M5"/>
    <mergeCell ref="N4:N5"/>
    <mergeCell ref="O4:O5"/>
    <mergeCell ref="P4:P5"/>
    <mergeCell ref="Q4:Q5"/>
    <mergeCell ref="S4:S5"/>
    <mergeCell ref="T4:T5"/>
    <mergeCell ref="U4:U5"/>
    <mergeCell ref="A24:E24"/>
    <mergeCell ref="B4:C4"/>
    <mergeCell ref="D4:E4"/>
    <mergeCell ref="R3:R4"/>
    <mergeCell ref="A3:A5"/>
    <mergeCell ref="S3:U3"/>
    <mergeCell ref="F4:F5"/>
    <mergeCell ref="G4:G5"/>
    <mergeCell ref="H4:H5"/>
    <mergeCell ref="I4:I5"/>
    <mergeCell ref="J4:J5"/>
    <mergeCell ref="K4:K5"/>
  </mergeCells>
  <pageMargins left="0.23622047244094491" right="3.937007874015748E-2" top="0.35433070866141736" bottom="0.35433070866141736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2014-12-11T04:58:13Z</dcterms:modified>
</cp:coreProperties>
</file>